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.sharepoint.com/sites/BacheloroppgaveDanielTommyAnders/Delte dokumenter/1. Endelig Innlevering/"/>
    </mc:Choice>
  </mc:AlternateContent>
  <xr:revisionPtr revIDLastSave="5314" documentId="8_{33ADA833-8412-49E0-9347-8C964272DA42}" xr6:coauthVersionLast="46" xr6:coauthVersionMax="47" xr10:uidLastSave="{C7F263DD-E81B-439F-894C-015ABD0FCD11}"/>
  <bookViews>
    <workbookView xWindow="2505" yWindow="1095" windowWidth="14880" windowHeight="17565" firstSheet="1" activeTab="5" xr2:uid="{D597884D-940E-4B45-9B55-07F988A57B63}"/>
  </bookViews>
  <sheets>
    <sheet name="Hydrogen prod con" sheetId="10" r:id="rId1"/>
    <sheet name="MarineTraffic" sheetId="2" r:id="rId2"/>
    <sheet name="Supply chains" sheetId="9" r:id="rId3"/>
    <sheet name="Cost and emission analysis" sheetId="8" r:id="rId4"/>
    <sheet name="Case MV Rubin" sheetId="7" r:id="rId5"/>
    <sheet name="Thermodynamic data" sheetId="4" r:id="rId6"/>
    <sheet name="DBT Cp_extrapolated" sheetId="6" r:id="rId7"/>
  </sheets>
  <definedNames>
    <definedName name="EksterneData_1" localSheetId="1" hidden="1">MarineTraffic!$A$9:$J$600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4" l="1"/>
  <c r="H35" i="4" s="1"/>
  <c r="G7" i="9"/>
  <c r="M72" i="7"/>
  <c r="D12" i="9"/>
  <c r="D45" i="9"/>
  <c r="E45" i="9" s="1"/>
  <c r="D46" i="9"/>
  <c r="E40" i="9"/>
  <c r="N72" i="7"/>
  <c r="O62" i="7"/>
  <c r="N62" i="7"/>
  <c r="K12" i="7"/>
  <c r="L52" i="7" s="1"/>
  <c r="R52" i="7"/>
  <c r="Q52" i="7"/>
  <c r="I16" i="7"/>
  <c r="L12" i="7" s="1"/>
  <c r="K52" i="7" s="1"/>
  <c r="L36" i="7"/>
  <c r="J72" i="7" s="1"/>
  <c r="D4" i="9"/>
  <c r="D34" i="9" s="1"/>
  <c r="O34" i="9" s="1"/>
  <c r="K47" i="8"/>
  <c r="L12" i="8"/>
  <c r="I10" i="9"/>
  <c r="I26" i="7" s="1"/>
  <c r="H10" i="9"/>
  <c r="D40" i="9" l="1"/>
  <c r="F45" i="9"/>
  <c r="D43" i="9"/>
  <c r="F26" i="9"/>
  <c r="L7" i="8" s="1"/>
  <c r="L9" i="8" s="1"/>
  <c r="L10" i="8" s="1"/>
  <c r="G4" i="9"/>
  <c r="E46" i="9" s="1"/>
  <c r="E43" i="9" s="1"/>
  <c r="E44" i="9" s="1"/>
  <c r="F43" i="9" l="1"/>
  <c r="D44" i="9"/>
  <c r="F44" i="9" s="1"/>
  <c r="F46" i="9"/>
  <c r="G45" i="9"/>
  <c r="E91" i="8"/>
  <c r="E98" i="8"/>
  <c r="M36" i="7"/>
  <c r="E72" i="7" s="1"/>
  <c r="E24" i="4"/>
  <c r="H46" i="9"/>
  <c r="H40" i="9"/>
  <c r="E34" i="9"/>
  <c r="G26" i="9"/>
  <c r="F10" i="9"/>
  <c r="B7" i="8"/>
  <c r="B6" i="8" s="1"/>
  <c r="K41" i="8" s="1"/>
  <c r="B8" i="8"/>
  <c r="G16" i="8" s="1"/>
  <c r="G11" i="8"/>
  <c r="F11" i="8"/>
  <c r="E11" i="8"/>
  <c r="E24" i="7"/>
  <c r="D24" i="7"/>
  <c r="D19" i="7" s="1"/>
  <c r="C24" i="7"/>
  <c r="H7" i="8"/>
  <c r="G7" i="8"/>
  <c r="F7" i="8"/>
  <c r="E7" i="8"/>
  <c r="H6" i="8"/>
  <c r="G6" i="8"/>
  <c r="F6" i="8"/>
  <c r="E6" i="8"/>
  <c r="H43" i="9" l="1"/>
  <c r="H44" i="9" s="1"/>
  <c r="H45" i="9" s="1"/>
  <c r="I45" i="9" s="1"/>
  <c r="J41" i="8"/>
  <c r="E96" i="8" s="1"/>
  <c r="M41" i="8"/>
  <c r="L41" i="8"/>
  <c r="H16" i="8"/>
  <c r="H15" i="8"/>
  <c r="G15" i="8"/>
  <c r="E48" i="8" s="1"/>
  <c r="E7" i="4"/>
  <c r="H4" i="4"/>
  <c r="H17" i="4"/>
  <c r="H15" i="4"/>
  <c r="E31" i="4"/>
  <c r="E32" i="4" s="1"/>
  <c r="V614" i="2"/>
  <c r="U614" i="2"/>
  <c r="U609" i="2"/>
  <c r="V609" i="2"/>
  <c r="W609" i="2"/>
  <c r="E89" i="8" l="1"/>
  <c r="E82" i="8"/>
  <c r="B42" i="6"/>
  <c r="R42" i="6"/>
  <c r="B43" i="6"/>
  <c r="R43" i="6"/>
  <c r="B44" i="6"/>
  <c r="R44" i="6"/>
  <c r="B45" i="6"/>
  <c r="R45" i="6"/>
  <c r="B46" i="6"/>
  <c r="R46" i="6"/>
  <c r="B47" i="6"/>
  <c r="R47" i="6"/>
  <c r="B48" i="6"/>
  <c r="R48" i="6"/>
  <c r="B49" i="6"/>
  <c r="R49" i="6"/>
  <c r="B50" i="6"/>
  <c r="R50" i="6"/>
  <c r="B51" i="6"/>
  <c r="R51" i="6"/>
  <c r="B52" i="6"/>
  <c r="R52" i="6"/>
  <c r="B53" i="6"/>
  <c r="R53" i="6"/>
  <c r="B54" i="6"/>
  <c r="R54" i="6"/>
  <c r="B55" i="6"/>
  <c r="R55" i="6"/>
  <c r="B56" i="6"/>
  <c r="R56" i="6"/>
  <c r="H3" i="4"/>
  <c r="B12" i="4"/>
  <c r="B14" i="4" s="1"/>
  <c r="H6" i="4"/>
  <c r="H7" i="4"/>
  <c r="H8" i="4"/>
  <c r="H9" i="4"/>
  <c r="H21" i="4"/>
  <c r="H18" i="4" s="1"/>
  <c r="B18" i="4"/>
  <c r="B20" i="4"/>
  <c r="E19" i="4"/>
  <c r="H27" i="4"/>
  <c r="H28" i="4" s="1"/>
  <c r="E4" i="4" l="1"/>
  <c r="E6" i="4" s="1"/>
  <c r="E29" i="7"/>
  <c r="E18" i="7" s="1"/>
  <c r="D18" i="7" s="1"/>
  <c r="E36" i="7"/>
  <c r="E28" i="7"/>
  <c r="E34" i="7"/>
  <c r="E20" i="4"/>
  <c r="E23" i="4" s="1"/>
  <c r="E33" i="4"/>
  <c r="B9" i="4"/>
  <c r="B11" i="4" s="1"/>
  <c r="B13" i="4"/>
  <c r="B15" i="4" s="1"/>
  <c r="B8" i="4"/>
  <c r="B10" i="4" s="1"/>
  <c r="D33" i="9" l="1"/>
  <c r="D39" i="9"/>
  <c r="F23" i="9"/>
  <c r="E34" i="4"/>
  <c r="E19" i="7"/>
  <c r="D20" i="7"/>
  <c r="F19" i="7"/>
  <c r="F20" i="7" s="1"/>
  <c r="F18" i="7"/>
  <c r="E35" i="7"/>
  <c r="E15" i="9"/>
  <c r="E16" i="9" s="1"/>
  <c r="E20" i="9" s="1"/>
  <c r="D15" i="9"/>
  <c r="D16" i="9" s="1"/>
  <c r="D20" i="9" s="1"/>
  <c r="H26" i="9"/>
  <c r="B23" i="4"/>
  <c r="B26" i="4" s="1"/>
  <c r="B17" i="4"/>
  <c r="E8" i="4"/>
  <c r="E10" i="4" s="1"/>
  <c r="E11" i="4" s="1"/>
  <c r="F15" i="9" s="1"/>
  <c r="F16" i="9" s="1"/>
  <c r="F20" i="9" s="1"/>
  <c r="E9" i="4"/>
  <c r="B21" i="4"/>
  <c r="B19" i="4"/>
  <c r="E20" i="7" l="1"/>
  <c r="F101" i="7"/>
  <c r="F100" i="7"/>
  <c r="D31" i="9"/>
  <c r="D32" i="9" s="1"/>
  <c r="O33" i="9"/>
  <c r="R50" i="7"/>
  <c r="R49" i="7" s="1"/>
  <c r="E33" i="9"/>
  <c r="E31" i="9" s="1"/>
  <c r="E32" i="9" s="1"/>
  <c r="D37" i="9"/>
  <c r="D38" i="9" s="1"/>
  <c r="E39" i="9"/>
  <c r="E37" i="9" s="1"/>
  <c r="H32" i="9"/>
  <c r="N70" i="7"/>
  <c r="N69" i="7" s="1"/>
  <c r="O60" i="7"/>
  <c r="O59" i="7" s="1"/>
  <c r="N60" i="7" s="1"/>
  <c r="N59" i="7" s="1"/>
  <c r="G20" i="8"/>
  <c r="K45" i="8"/>
  <c r="E84" i="8" s="1"/>
  <c r="G15" i="9"/>
  <c r="F19" i="9" s="1"/>
  <c r="R512" i="2"/>
  <c r="S535" i="2"/>
  <c r="S529" i="2"/>
  <c r="S518" i="2"/>
  <c r="S514" i="2"/>
  <c r="S511" i="2"/>
  <c r="S503" i="2"/>
  <c r="S496" i="2"/>
  <c r="L559" i="2"/>
  <c r="L558" i="2"/>
  <c r="L553" i="2"/>
  <c r="L554" i="2"/>
  <c r="Q547" i="2"/>
  <c r="R547" i="2"/>
  <c r="S546" i="2"/>
  <c r="Q540" i="2"/>
  <c r="R540" i="2"/>
  <c r="S539" i="2"/>
  <c r="R536" i="2"/>
  <c r="Q536" i="2"/>
  <c r="Q530" i="2"/>
  <c r="R530" i="2"/>
  <c r="Q525" i="2"/>
  <c r="R525" i="2"/>
  <c r="R519" i="2"/>
  <c r="Q519" i="2"/>
  <c r="S524" i="2"/>
  <c r="R515" i="2"/>
  <c r="Q515" i="2"/>
  <c r="Q512" i="2"/>
  <c r="Q504" i="2"/>
  <c r="R504" i="2"/>
  <c r="Q497" i="2"/>
  <c r="R497" i="2"/>
  <c r="Q482" i="2"/>
  <c r="R482" i="2"/>
  <c r="R470" i="2"/>
  <c r="V471" i="2" s="1"/>
  <c r="Q470" i="2"/>
  <c r="L472" i="2"/>
  <c r="L471" i="2"/>
  <c r="L470" i="2"/>
  <c r="P470" i="2" s="1"/>
  <c r="U471" i="2" s="1"/>
  <c r="S445" i="2"/>
  <c r="S435" i="2"/>
  <c r="S432" i="2"/>
  <c r="S429" i="2"/>
  <c r="S425" i="2"/>
  <c r="S420" i="2"/>
  <c r="Q446" i="2"/>
  <c r="R446" i="2"/>
  <c r="L450" i="2"/>
  <c r="R436" i="2"/>
  <c r="Q436" i="2"/>
  <c r="Q433" i="2"/>
  <c r="R433" i="2"/>
  <c r="Q430" i="2"/>
  <c r="R430" i="2"/>
  <c r="R426" i="2"/>
  <c r="Q426" i="2"/>
  <c r="R421" i="2"/>
  <c r="Q421" i="2"/>
  <c r="R416" i="2"/>
  <c r="Q416" i="2"/>
  <c r="Q402" i="2"/>
  <c r="R402" i="2"/>
  <c r="V404" i="2" s="1"/>
  <c r="L416" i="2"/>
  <c r="L406" i="2"/>
  <c r="L401" i="2"/>
  <c r="L407" i="2"/>
  <c r="L405" i="2"/>
  <c r="L266" i="2"/>
  <c r="L265" i="2"/>
  <c r="L264" i="2"/>
  <c r="L263" i="2"/>
  <c r="S356" i="2"/>
  <c r="R353" i="2"/>
  <c r="Q353" i="2"/>
  <c r="L352" i="2"/>
  <c r="L353" i="2"/>
  <c r="L354" i="2"/>
  <c r="L334" i="2"/>
  <c r="L188" i="2"/>
  <c r="S177" i="2"/>
  <c r="R178" i="2"/>
  <c r="Q178" i="2"/>
  <c r="L178" i="2"/>
  <c r="L176" i="2"/>
  <c r="R171" i="2"/>
  <c r="L179" i="2"/>
  <c r="L177" i="2"/>
  <c r="L189" i="2"/>
  <c r="L15" i="2"/>
  <c r="L88" i="2"/>
  <c r="L116" i="2"/>
  <c r="L190" i="2"/>
  <c r="L256" i="2"/>
  <c r="L275" i="2"/>
  <c r="L402" i="2"/>
  <c r="L404" i="2"/>
  <c r="S387" i="2"/>
  <c r="S383" i="2"/>
  <c r="S380" i="2"/>
  <c r="S372" i="2"/>
  <c r="S367" i="2"/>
  <c r="S304" i="2"/>
  <c r="S317" i="2"/>
  <c r="S294" i="2"/>
  <c r="S291" i="2"/>
  <c r="Q388" i="2"/>
  <c r="R357" i="2"/>
  <c r="R368" i="2"/>
  <c r="R373" i="2"/>
  <c r="R381" i="2"/>
  <c r="R384" i="2"/>
  <c r="R388" i="2"/>
  <c r="L395" i="2"/>
  <c r="Q384" i="2"/>
  <c r="Q381" i="2"/>
  <c r="Q373" i="2"/>
  <c r="Q368" i="2"/>
  <c r="Q357" i="2"/>
  <c r="Q171" i="2"/>
  <c r="L333" i="2"/>
  <c r="R333" i="2"/>
  <c r="V334" i="2" s="1"/>
  <c r="Q333" i="2"/>
  <c r="R189" i="2"/>
  <c r="R275" i="2"/>
  <c r="L317" i="2"/>
  <c r="P318" i="2" s="1"/>
  <c r="R318" i="2"/>
  <c r="Q305" i="2"/>
  <c r="R305" i="2"/>
  <c r="Q295" i="2"/>
  <c r="R295" i="2"/>
  <c r="R292" i="2"/>
  <c r="Q292" i="2"/>
  <c r="Q275" i="2"/>
  <c r="Q264" i="2"/>
  <c r="R264" i="2"/>
  <c r="V265" i="2" s="1"/>
  <c r="Q189" i="2"/>
  <c r="S247" i="2"/>
  <c r="S242" i="2"/>
  <c r="S237" i="2"/>
  <c r="S234" i="2"/>
  <c r="S228" i="2"/>
  <c r="S223" i="2"/>
  <c r="S220" i="2"/>
  <c r="S217" i="2"/>
  <c r="S214" i="2"/>
  <c r="Q248" i="2"/>
  <c r="R248" i="2"/>
  <c r="Q243" i="2"/>
  <c r="R243" i="2"/>
  <c r="R238" i="2"/>
  <c r="Q238" i="2"/>
  <c r="Q235" i="2"/>
  <c r="R235" i="2"/>
  <c r="R229" i="2"/>
  <c r="Q229" i="2"/>
  <c r="R224" i="2"/>
  <c r="Q224" i="2"/>
  <c r="R221" i="2"/>
  <c r="Q221" i="2"/>
  <c r="R218" i="2"/>
  <c r="Q218" i="2"/>
  <c r="R215" i="2"/>
  <c r="Q215" i="2"/>
  <c r="S170" i="2"/>
  <c r="S163" i="2"/>
  <c r="S156" i="2"/>
  <c r="S153" i="2"/>
  <c r="S150" i="2"/>
  <c r="S147" i="2"/>
  <c r="S140" i="2"/>
  <c r="S136" i="2"/>
  <c r="S128" i="2"/>
  <c r="Q164" i="2"/>
  <c r="R164" i="2"/>
  <c r="Q157" i="2"/>
  <c r="R157" i="2"/>
  <c r="Q154" i="2"/>
  <c r="R154" i="2"/>
  <c r="R151" i="2"/>
  <c r="Q151" i="2"/>
  <c r="Q148" i="2"/>
  <c r="R148" i="2"/>
  <c r="Q141" i="2"/>
  <c r="R141" i="2"/>
  <c r="R137" i="2"/>
  <c r="Q137" i="2"/>
  <c r="Q129" i="2"/>
  <c r="R129" i="2"/>
  <c r="Q116" i="2"/>
  <c r="R116" i="2"/>
  <c r="M102" i="2"/>
  <c r="S83" i="2"/>
  <c r="S86" i="2"/>
  <c r="R87" i="2"/>
  <c r="Q87" i="2"/>
  <c r="R84" i="2"/>
  <c r="Q84" i="2"/>
  <c r="M110" i="2"/>
  <c r="M92" i="2"/>
  <c r="S78" i="2"/>
  <c r="S68" i="2"/>
  <c r="S63" i="2"/>
  <c r="S57" i="2"/>
  <c r="S53" i="2"/>
  <c r="S47" i="2"/>
  <c r="S43" i="2"/>
  <c r="S33" i="2"/>
  <c r="S30" i="2"/>
  <c r="S26" i="2"/>
  <c r="S23" i="2"/>
  <c r="R14" i="2"/>
  <c r="R24" i="2"/>
  <c r="R27" i="2"/>
  <c r="R31" i="2"/>
  <c r="R34" i="2"/>
  <c r="R44" i="2"/>
  <c r="R48" i="2"/>
  <c r="R54" i="2"/>
  <c r="R58" i="2"/>
  <c r="R64" i="2"/>
  <c r="R69" i="2"/>
  <c r="R79" i="2"/>
  <c r="Q79" i="2"/>
  <c r="Q69" i="2"/>
  <c r="Q64" i="2"/>
  <c r="Q54" i="2"/>
  <c r="Q58" i="2"/>
  <c r="Q48" i="2"/>
  <c r="Q44" i="2"/>
  <c r="Q34" i="2"/>
  <c r="Q31" i="2"/>
  <c r="Q27" i="2"/>
  <c r="Q24" i="2"/>
  <c r="Q14" i="2"/>
  <c r="L16" i="2"/>
  <c r="L17" i="2"/>
  <c r="L18" i="2"/>
  <c r="L12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91" i="2"/>
  <c r="L92" i="2"/>
  <c r="L93" i="2"/>
  <c r="L94" i="2"/>
  <c r="L95" i="2"/>
  <c r="L101" i="2"/>
  <c r="L102" i="2"/>
  <c r="L103" i="2"/>
  <c r="L106" i="2"/>
  <c r="L111" i="2"/>
  <c r="L112" i="2"/>
  <c r="L113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82" i="2"/>
  <c r="L183" i="2"/>
  <c r="L186" i="2"/>
  <c r="L187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9" i="2"/>
  <c r="L260" i="2"/>
  <c r="L269" i="2"/>
  <c r="L270" i="2"/>
  <c r="L271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21" i="2"/>
  <c r="L322" i="2"/>
  <c r="L323" i="2"/>
  <c r="L324" i="2"/>
  <c r="L325" i="2"/>
  <c r="L326" i="2"/>
  <c r="L327" i="2"/>
  <c r="L328" i="2"/>
  <c r="L337" i="2"/>
  <c r="L338" i="2"/>
  <c r="L344" i="2"/>
  <c r="L345" i="2"/>
  <c r="L346" i="2"/>
  <c r="L347" i="2"/>
  <c r="L348" i="2"/>
  <c r="L349" i="2"/>
  <c r="L350" i="2"/>
  <c r="L351" i="2"/>
  <c r="L355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9" i="2"/>
  <c r="L408" i="2"/>
  <c r="L409" i="2"/>
  <c r="L410" i="2"/>
  <c r="L411" i="2"/>
  <c r="L412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3" i="2"/>
  <c r="L454" i="2"/>
  <c r="L457" i="2"/>
  <c r="L463" i="2"/>
  <c r="L464" i="2"/>
  <c r="L465" i="2"/>
  <c r="L466" i="2"/>
  <c r="L467" i="2"/>
  <c r="L473" i="2"/>
  <c r="L474" i="2"/>
  <c r="L475" i="2"/>
  <c r="L476" i="2"/>
  <c r="L477" i="2"/>
  <c r="L478" i="2"/>
  <c r="L479" i="2"/>
  <c r="L480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5" i="2"/>
  <c r="L556" i="2"/>
  <c r="L557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11" i="2"/>
  <c r="M70" i="7" l="1"/>
  <c r="M69" i="7" s="1"/>
  <c r="N71" i="7"/>
  <c r="F37" i="9"/>
  <c r="P33" i="9"/>
  <c r="O31" i="9"/>
  <c r="E38" i="9"/>
  <c r="F38" i="9" s="1"/>
  <c r="F39" i="9"/>
  <c r="G39" i="9" s="1"/>
  <c r="F33" i="9"/>
  <c r="G33" i="9" s="1"/>
  <c r="H33" i="9" s="1"/>
  <c r="I33" i="9" s="1"/>
  <c r="F31" i="9"/>
  <c r="F34" i="9" s="1"/>
  <c r="F32" i="9"/>
  <c r="Q50" i="7"/>
  <c r="Q49" i="7" s="1"/>
  <c r="R51" i="7"/>
  <c r="N58" i="7"/>
  <c r="J58" i="7" s="1"/>
  <c r="E79" i="7" s="1"/>
  <c r="N61" i="7"/>
  <c r="M68" i="7"/>
  <c r="J68" i="7" s="1"/>
  <c r="J69" i="7" s="1"/>
  <c r="L69" i="7"/>
  <c r="L70" i="7" s="1"/>
  <c r="E19" i="9"/>
  <c r="G43" i="9"/>
  <c r="E99" i="8"/>
  <c r="K44" i="8"/>
  <c r="L11" i="8"/>
  <c r="L6" i="8"/>
  <c r="N46" i="8"/>
  <c r="E54" i="8"/>
  <c r="E49" i="8"/>
  <c r="E50" i="8" s="1"/>
  <c r="E105" i="8" s="1"/>
  <c r="I105" i="8" s="1"/>
  <c r="E74" i="8"/>
  <c r="G19" i="8"/>
  <c r="N45" i="8" s="1"/>
  <c r="E65" i="8"/>
  <c r="E55" i="8"/>
  <c r="D19" i="9"/>
  <c r="H19" i="8"/>
  <c r="P178" i="2"/>
  <c r="P540" i="2"/>
  <c r="P547" i="2"/>
  <c r="P515" i="2"/>
  <c r="V39" i="2"/>
  <c r="P512" i="2"/>
  <c r="P530" i="2"/>
  <c r="V229" i="2"/>
  <c r="P353" i="2"/>
  <c r="V431" i="2"/>
  <c r="P497" i="2"/>
  <c r="P84" i="2"/>
  <c r="W229" i="2"/>
  <c r="W293" i="2"/>
  <c r="V519" i="2"/>
  <c r="P504" i="2"/>
  <c r="P519" i="2"/>
  <c r="P446" i="2"/>
  <c r="V139" i="2"/>
  <c r="P536" i="2"/>
  <c r="P525" i="2"/>
  <c r="W519" i="2"/>
  <c r="P482" i="2"/>
  <c r="W431" i="2"/>
  <c r="W376" i="2"/>
  <c r="P402" i="2"/>
  <c r="U404" i="2" s="1"/>
  <c r="P430" i="2"/>
  <c r="W139" i="2"/>
  <c r="P426" i="2"/>
  <c r="P24" i="2"/>
  <c r="V293" i="2"/>
  <c r="V376" i="2"/>
  <c r="L602" i="2"/>
  <c r="P433" i="2"/>
  <c r="P421" i="2"/>
  <c r="P151" i="2"/>
  <c r="P58" i="2"/>
  <c r="P54" i="2"/>
  <c r="P229" i="2"/>
  <c r="P416" i="2"/>
  <c r="P436" i="2"/>
  <c r="P171" i="2"/>
  <c r="P264" i="2"/>
  <c r="U265" i="2" s="1"/>
  <c r="P388" i="2"/>
  <c r="P333" i="2"/>
  <c r="U334" i="2" s="1"/>
  <c r="P14" i="2"/>
  <c r="P148" i="2"/>
  <c r="P368" i="2"/>
  <c r="P384" i="2"/>
  <c r="P381" i="2"/>
  <c r="P373" i="2"/>
  <c r="P275" i="2"/>
  <c r="P248" i="2"/>
  <c r="P224" i="2"/>
  <c r="P157" i="2"/>
  <c r="P69" i="2"/>
  <c r="P44" i="2"/>
  <c r="P292" i="2"/>
  <c r="P215" i="2"/>
  <c r="P189" i="2"/>
  <c r="P141" i="2"/>
  <c r="P27" i="2"/>
  <c r="P238" i="2"/>
  <c r="P164" i="2"/>
  <c r="P221" i="2"/>
  <c r="P34" i="2"/>
  <c r="P357" i="2"/>
  <c r="P305" i="2"/>
  <c r="P154" i="2"/>
  <c r="W39" i="2"/>
  <c r="P243" i="2"/>
  <c r="P235" i="2"/>
  <c r="P137" i="2"/>
  <c r="P129" i="2"/>
  <c r="P64" i="2"/>
  <c r="P48" i="2"/>
  <c r="P295" i="2"/>
  <c r="P218" i="2"/>
  <c r="P87" i="2"/>
  <c r="P79" i="2"/>
  <c r="P31" i="2"/>
  <c r="P116" i="2"/>
  <c r="E80" i="7" l="1"/>
  <c r="E81" i="7"/>
  <c r="G37" i="9"/>
  <c r="E89" i="7"/>
  <c r="G31" i="9"/>
  <c r="G32" i="9" s="1"/>
  <c r="I32" i="9" s="1"/>
  <c r="D89" i="7"/>
  <c r="L71" i="7"/>
  <c r="J60" i="7"/>
  <c r="K60" i="7" s="1"/>
  <c r="N53" i="8"/>
  <c r="N59" i="8"/>
  <c r="N47" i="8"/>
  <c r="G34" i="9"/>
  <c r="G44" i="9"/>
  <c r="I44" i="9" s="1"/>
  <c r="G46" i="9"/>
  <c r="I46" i="9" s="1"/>
  <c r="I43" i="9"/>
  <c r="H37" i="9"/>
  <c r="H38" i="9" s="1"/>
  <c r="H39" i="9" s="1"/>
  <c r="I39" i="9" s="1"/>
  <c r="O32" i="9"/>
  <c r="F40" i="9"/>
  <c r="I37" i="9"/>
  <c r="G38" i="9"/>
  <c r="G40" i="9"/>
  <c r="P34" i="9"/>
  <c r="P31" i="9" s="1"/>
  <c r="Q33" i="9"/>
  <c r="K26" i="7"/>
  <c r="J61" i="7" s="1"/>
  <c r="J59" i="7" s="1"/>
  <c r="H34" i="9"/>
  <c r="I34" i="9" s="1"/>
  <c r="E92" i="8"/>
  <c r="F58" i="7"/>
  <c r="F60" i="7" s="1"/>
  <c r="Q51" i="7"/>
  <c r="Q48" i="7"/>
  <c r="L50" i="7" s="1"/>
  <c r="L49" i="7" s="1"/>
  <c r="L48" i="7" s="1"/>
  <c r="D79" i="7" s="1"/>
  <c r="F70" i="7"/>
  <c r="E68" i="7"/>
  <c r="J70" i="7"/>
  <c r="L68" i="7"/>
  <c r="E85" i="8"/>
  <c r="E83" i="8"/>
  <c r="N52" i="8"/>
  <c r="E60" i="8"/>
  <c r="E59" i="8"/>
  <c r="E57" i="8"/>
  <c r="E56" i="8"/>
  <c r="E76" i="8"/>
  <c r="E67" i="8"/>
  <c r="N58" i="8"/>
  <c r="E77" i="8"/>
  <c r="E64" i="8"/>
  <c r="E73" i="8"/>
  <c r="N57" i="8"/>
  <c r="N51" i="8"/>
  <c r="E97" i="8"/>
  <c r="E100" i="8" s="1"/>
  <c r="E90" i="8"/>
  <c r="G25" i="8"/>
  <c r="K25" i="8"/>
  <c r="I25" i="8"/>
  <c r="E25" i="8"/>
  <c r="E26" i="8"/>
  <c r="K26" i="8"/>
  <c r="G26" i="8"/>
  <c r="I26" i="8"/>
  <c r="H25" i="8"/>
  <c r="F25" i="8"/>
  <c r="L25" i="8"/>
  <c r="J25" i="8"/>
  <c r="F26" i="8"/>
  <c r="H26" i="8"/>
  <c r="L26" i="8"/>
  <c r="J26" i="8"/>
  <c r="U39" i="2"/>
  <c r="U519" i="2"/>
  <c r="U431" i="2"/>
  <c r="U376" i="2"/>
  <c r="U293" i="2"/>
  <c r="U139" i="2"/>
  <c r="U229" i="2"/>
  <c r="N48" i="7" l="1"/>
  <c r="D80" i="7"/>
  <c r="D81" i="7"/>
  <c r="I38" i="9"/>
  <c r="I31" i="9"/>
  <c r="I40" i="9"/>
  <c r="K50" i="7"/>
  <c r="K49" i="7" s="1"/>
  <c r="J50" i="7" s="1"/>
  <c r="P32" i="9"/>
  <c r="Q31" i="9"/>
  <c r="Q34" i="9" s="1"/>
  <c r="Q32" i="9"/>
  <c r="E58" i="7"/>
  <c r="E61" i="7" s="1"/>
  <c r="E93" i="8"/>
  <c r="F106" i="8" s="1"/>
  <c r="J106" i="8" s="1"/>
  <c r="J71" i="7"/>
  <c r="K71" i="7" s="1"/>
  <c r="E70" i="7"/>
  <c r="E71" i="7"/>
  <c r="E69" i="7" s="1"/>
  <c r="D68" i="7"/>
  <c r="J62" i="7"/>
  <c r="E60" i="7"/>
  <c r="E86" i="8"/>
  <c r="E106" i="8" s="1"/>
  <c r="I106" i="8" s="1"/>
  <c r="N54" i="8"/>
  <c r="N48" i="8"/>
  <c r="E58" i="8"/>
  <c r="E69" i="8"/>
  <c r="E70" i="8" s="1"/>
  <c r="G105" i="8" s="1"/>
  <c r="K105" i="8" s="1"/>
  <c r="E78" i="8"/>
  <c r="E79" i="8" s="1"/>
  <c r="H105" i="8" s="1"/>
  <c r="L105" i="8" s="1"/>
  <c r="H106" i="8"/>
  <c r="L106" i="8" s="1"/>
  <c r="G106" i="8"/>
  <c r="K106" i="8" s="1"/>
  <c r="N60" i="8"/>
  <c r="E61" i="8"/>
  <c r="F105" i="8" s="1"/>
  <c r="J105" i="8" s="1"/>
  <c r="H27" i="8"/>
  <c r="F27" i="8"/>
  <c r="J27" i="8"/>
  <c r="I27" i="8"/>
  <c r="E27" i="8"/>
  <c r="E104" i="8" s="1"/>
  <c r="K27" i="8"/>
  <c r="L27" i="8"/>
  <c r="G27" i="8"/>
  <c r="D58" i="7" l="1"/>
  <c r="K48" i="7"/>
  <c r="D70" i="7"/>
  <c r="D69" i="7"/>
  <c r="D60" i="7"/>
  <c r="E59" i="7"/>
  <c r="E107" i="8"/>
  <c r="G104" i="8"/>
  <c r="G107" i="8" s="1"/>
  <c r="H104" i="8"/>
  <c r="H107" i="8" s="1"/>
  <c r="F104" i="8"/>
  <c r="F107" i="8" s="1"/>
  <c r="J104" i="8"/>
  <c r="J107" i="8" s="1"/>
  <c r="K104" i="8"/>
  <c r="K107" i="8" s="1"/>
  <c r="L104" i="8"/>
  <c r="L107" i="8" s="1"/>
  <c r="I104" i="8"/>
  <c r="I107" i="8" s="1"/>
  <c r="D61" i="7" l="1"/>
  <c r="F61" i="7" s="1"/>
  <c r="F63" i="7" l="1"/>
  <c r="F64" i="7"/>
  <c r="D59" i="7"/>
  <c r="F59" i="7" s="1"/>
  <c r="E88" i="7" s="1"/>
  <c r="J63" i="7"/>
  <c r="F68" i="7" l="1"/>
  <c r="N63" i="7"/>
  <c r="O63" i="7" s="1"/>
  <c r="H68" i="7" l="1"/>
  <c r="F79" i="7"/>
  <c r="F80" i="7"/>
  <c r="F81" i="7"/>
  <c r="D71" i="7"/>
  <c r="F69" i="7" l="1"/>
  <c r="F71" i="7"/>
  <c r="F73" i="7" l="1"/>
  <c r="J73" i="7" s="1"/>
  <c r="M73" i="7" s="1"/>
  <c r="N73" i="7" s="1"/>
  <c r="F88" i="7"/>
  <c r="F74" i="7"/>
  <c r="L51" i="7"/>
  <c r="K51" i="7" l="1"/>
  <c r="M51" i="7" s="1"/>
  <c r="J48" i="7" l="1"/>
  <c r="K16" i="7" l="1"/>
  <c r="J51" i="7" s="1"/>
  <c r="J49" i="7" s="1"/>
  <c r="J52" i="7" s="1"/>
  <c r="E50" i="7" l="1"/>
  <c r="F50" i="7"/>
  <c r="D50" i="7" l="1"/>
  <c r="D48" i="7" s="1"/>
  <c r="E48" i="7"/>
  <c r="E52" i="7" l="1"/>
  <c r="E51" i="7" s="1"/>
  <c r="E49" i="7" s="1"/>
  <c r="F48" i="7"/>
  <c r="D51" i="7"/>
  <c r="D49" i="7" l="1"/>
  <c r="F49" i="7" s="1"/>
  <c r="D88" i="7" s="1"/>
  <c r="F51" i="7"/>
  <c r="F54" i="7" l="1"/>
  <c r="F53" i="7"/>
  <c r="J53" i="7" s="1"/>
  <c r="K53" i="7" s="1"/>
  <c r="L53" i="7" s="1"/>
  <c r="Q53" i="7" s="1"/>
  <c r="R5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tc={2EF6F342-0349-4BB9-8DFC-20814E2607A1}</author>
    <author>tc={54E5B256-E30B-41D4-B662-4970F9B3EDDB}</author>
    <author>tc={B84257A2-0DF5-4404-B783-167F357768D2}</author>
    <author>tc={1AB2A20A-FA82-4140-815A-7D3F139B5C6C}</author>
    <author>tc={7E832797-8F34-4CF3-8E71-33D87F136911}</author>
    <author>tc={A6816878-D3F1-4EE3-A344-0BE9A8D80B5F}</author>
    <author>tc={DD5CCF49-088F-4712-9551-C8652C39FB6F}</author>
    <author>tc={ABE7153C-49B0-4D32-9E22-D965476227D2}</author>
  </authors>
  <commentList>
    <comment ref="B3" authorId="0" shapeId="0" xr:uid="{2EF6F342-0349-4BB9-8DFC-20814E2607A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https://www.sintef.no/contentassets/cd105affc9d64e09a7b6e822203c5b0d/underlagsnotat_hydrogen_sintef.pdf</t>
      </text>
    </comment>
    <comment ref="C3" authorId="1" shapeId="0" xr:uid="{54E5B256-E30B-41D4-B662-4970F9B3EDD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https://www.sintef.no/contentassets/cd105affc9d64e09a7b6e822203c5b0d/underlagsnotat_hydrogen_sintef.pdf</t>
      </text>
    </comment>
    <comment ref="D3" authorId="2" shapeId="0" xr:uid="{B84257A2-0DF5-4404-B783-167F357768D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https://www.sintef.no/contentassets/cd105affc9d64e09a7b6e822203c5b0d/underlagsnotat_hydrogen_sintef.pdf</t>
      </text>
    </comment>
    <comment ref="E3" authorId="3" shapeId="0" xr:uid="{1AB2A20A-FA82-4140-815A-7D3F139B5C6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https://www.sintef.no/contentassets/cd105affc9d64e09a7b6e822203c5b0d/underlagsnotat_hydrogen_sintef.pdf</t>
      </text>
    </comment>
    <comment ref="B7" authorId="4" shapeId="0" xr:uid="{7E832797-8F34-4CF3-8E71-33D87F13691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https://www.sintef.no/contentassets/cd105affc9d64e09a7b6e822203c5b0d/underlagsnotat_hydrogen_sintef.pdf</t>
      </text>
    </comment>
    <comment ref="C7" authorId="5" shapeId="0" xr:uid="{A6816878-D3F1-4EE3-A344-0BE9A8D80B5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https://www.sintef.no/contentassets/cd105affc9d64e09a7b6e822203c5b0d/underlagsnotat_hydrogen_sintef.pdf</t>
      </text>
    </comment>
    <comment ref="D7" authorId="6" shapeId="0" xr:uid="{DD5CCF49-088F-4712-9551-C8652C39FB6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https://www.sintef.no/contentassets/cd105affc9d64e09a7b6e822203c5b0d/underlagsnotat_hydrogen_sintef.pdf</t>
      </text>
    </comment>
    <comment ref="E7" authorId="7" shapeId="0" xr:uid="{ABE7153C-49B0-4D32-9E22-D965476227D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https://www.sintef.no/contentassets/cd105affc9d64e09a7b6e822203c5b0d/underlagsnotat_hydrogen_sintef.pdf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tc={2FD99765-8112-46F0-8A61-EE2F083391C7}</author>
  </authors>
  <commentList>
    <comment ref="I553" authorId="0" shapeId="0" xr:uid="{2FD99765-8112-46F0-8A61-EE2F083391C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google.com/maps/place/66°44'41.9"N+13°29'58.6"E/@66.745173,13.4996979,555m/data=!3m1!1e3!4m5!3m4!1s0x0:0x0!8m2!3d66.74496!4d13.49962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tc={4FA7F6B1-DEB6-4575-BC0F-54AEC3921F30}</author>
    <author>tc={C3593E6D-BD1D-4C38-9380-BABF855558EA}</author>
    <author>tc={CC159EAF-C554-4467-BF5B-09A55DDCEDE9}</author>
    <author>tc={D4D6ACFB-AAA4-4B93-9635-C03299642FF0}</author>
    <author>tc={35EFB33F-33E2-4709-BF5B-9DA3CF90D0D1}</author>
    <author>tc={D72A17C7-BA1B-4BC1-9DCA-2D57DD23BB28}</author>
  </authors>
  <commentList>
    <comment ref="A8" authorId="0" shapeId="0" xr:uid="{4FA7F6B1-DEB6-4575-BC0F-54AEC3921F3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https://www.norges-bank.no/tema/Statistikk/Valutakurser/?tab=currency&amp;id=EUR</t>
      </text>
    </comment>
    <comment ref="K33" authorId="1" shapeId="0" xr:uid="{C3593E6D-BD1D-4C38-9380-BABF855558E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https://autoline.info/-/sale/fuel-tank-trailers/LINDNER-FISCHER-TSA-60-SD-4-axle-Fuel-Tank-Trailer-NEW-2-Units--17121413330436656200</t>
      </text>
    </comment>
    <comment ref="L33" authorId="2" shapeId="0" xr:uid="{CC159EAF-C554-4467-BF5B-09A55DDCEDE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https://www.osti.gov/servlets/purl/982359-i1bna2/</t>
      </text>
    </comment>
    <comment ref="M33" authorId="3" shapeId="0" xr:uid="{D4D6ACFB-AAA4-4B93-9635-C03299642FF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https://www.mylittlesalesman.com/2018-polar-10600-265-psi-available-for-lease-or-purchase-industrial-gas-tank-trailer-9223001</t>
      </text>
    </comment>
    <comment ref="J38" authorId="4" shapeId="0" xr:uid="{35EFB33F-33E2-4709-BF5B-9DA3CF90D0D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https://www.circlek.no/bedrift/drivstoff/drivstoffpriser</t>
      </text>
    </comment>
    <comment ref="J39" authorId="5" shapeId="0" xr:uid="{D72A17C7-BA1B-4BC1-9DCA-2D57DD23BB2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https://frifagbevegelse.no/nyheter/lastebilsjaforene-krever-mer-lonn--melk-og-brod-er-ikke-billigere-for-sjaforer-enn-andre-6.158.681109.336b702b70#:~:text=I%20dag%20er%20timel%C3%B8nna%20for,hva%20en%20industriarbeider%20tjener%20(ca.
Svar:
    https://www.smartepenger.no/kalkulatorer/2734-ansattkostnad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tc={0D5814AE-1D0D-422F-9792-3F33C87CF4DA}</author>
    <author>tc={C44AE130-9611-4BCE-9CB0-3DC34E360F24}</author>
    <author>tc={8123D401-BE00-46EA-BEFB-95190FF6CE6B}</author>
    <author>tc={FD341931-782D-4771-B4AD-2F36FF3A47B6}</author>
    <author>tc={39DD04CC-B0A1-4915-9214-AA2026F50524}</author>
    <author>tc={2436BBC6-21F6-4A12-9EEE-F0730219A095}</author>
    <author>tc={31733E5F-99DB-435F-B11F-E43842823956}</author>
    <author>tc={C2228D7F-663D-4AA4-ABA3-AEBEDD28E0D5}</author>
    <author>tc={7DFD3613-72CB-4B22-A9D8-32BC9E55B90F}</author>
  </authors>
  <commentList>
    <comment ref="I16" authorId="0" shapeId="0" xr:uid="{0D5814AE-1D0D-422F-9792-3F33C87CF4D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https://kart.1881.no/?direction={60.8005431|5.0061575|Mongstad%2C%20Mongstad}{61.59960210442|5.03282695416688|Flor%C3%B8%2C%20Flor%C3%B8%20(Bydel)}</t>
      </text>
    </comment>
    <comment ref="I26" authorId="1" shapeId="0" xr:uid="{C44AE130-9611-4BCE-9CB0-3DC34E360F2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https://kart.1881.no/?direction={60.8005431|5.0061575|Mongstad%2C%20Mongstad}{61.59960210442|5.03282695416688|Flor%C3%B8%2C%20Flor%C3%B8%20(Bydel)}</t>
      </text>
    </comment>
    <comment ref="E27" authorId="2" shapeId="0" xr:uid="{8123D401-BE00-46EA-BEFB-95190FF6CE6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https://www.wartsila.com/marine/build/engines-and-generating-sets/diesel-engines/wartsila-20</t>
      </text>
    </comment>
    <comment ref="E32" authorId="3" shapeId="0" xr:uid="{FD341931-782D-4771-B4AD-2F36FF3A47B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https://baudouin.com/wp-content/uploads/2018/06/12-M26.2-EN-2020.pdf</t>
      </text>
    </comment>
    <comment ref="E33" authorId="4" shapeId="0" xr:uid="{39DD04CC-B0A1-4915-9214-AA2026F5052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https://baudouin.com/wp-content/uploads/2018/06/12-M26.2-EN-2020.pdf</t>
      </text>
    </comment>
    <comment ref="E39" authorId="5" shapeId="0" xr:uid="{2436BBC6-21F6-4A12-9EEE-F0730219A09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http://www.qaswaa-albararry.com/uploads/leroy%20somer/660-910%20kva.pdf</t>
      </text>
    </comment>
    <comment ref="E42" authorId="6" shapeId="0" xr:uid="{31733E5F-99DB-435F-B11F-E4384282395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https://muldermotoren.nl/volvopentadvd/marine_genset_asp/data_sources/techdata_generator/td_hcm434f.gb_10.06_05_gb.pdf</t>
      </text>
    </comment>
    <comment ref="F97" authorId="7" shapeId="0" xr:uid="{C2228D7F-663D-4AA4-ABA3-AEBEDD28E0D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https://www.mdpi.com/2071-1050/12/21/8793/pdf</t>
      </text>
    </comment>
    <comment ref="F98" authorId="8" shapeId="0" xr:uid="{7DFD3613-72CB-4B22-A9D8-32BC9E55B90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https://www.mdpi.com/2071-1050/12/21/8793/pdf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tc={B73AA7F1-9A41-44FF-8307-921E7132161E}</author>
    <author>tc={BA71680B-2FFE-4846-B5DE-002BF33B2288}</author>
    <author>tc={F3F65C9B-9013-462D-ABDB-4EE71948594C}</author>
    <author>tc={AE623A47-572A-430E-9141-CA958025895B}</author>
    <author>tc={DABFC885-AA2C-4CD1-AC5E-D906C554FBCD}</author>
    <author>tc={BA9F95C7-1BF0-4F22-979E-5DB65206E446}</author>
    <author>tc={ACC3F687-4DCE-4271-9B63-6522527D0168}</author>
    <author>tc={F0B5AC4C-DDC6-4604-BA2C-1A84FFCBE6C3}</author>
    <author>tc={D7648C8E-AE13-4114-8269-41A5804BCB02}</author>
    <author>tc={4FCB2009-6AB2-41B7-AFE4-297344E1A2D5}</author>
    <author>tc={240B7FE7-24E2-4106-ACCF-7F4DF81DAA0B}</author>
    <author>tc={D33F748D-5134-4EBF-BB5D-B282E7A66E3E}</author>
    <author>tc={258683EC-D48B-4316-BDC0-7E0AE10CFA3A}</author>
    <author>tc={CDA5146D-FA1D-4659-B64D-63DDE4BD5319}</author>
    <author>tc={AEBC43B8-D74A-4149-A74E-57C5D8CE3B26}</author>
    <author>tc={A2367E79-874C-4712-93E0-EED6FB6AD3A1}</author>
    <author>tc={562DAB4F-6826-4CDC-A729-8F9F2659370E}</author>
    <author>tc={6494EA75-5643-4C81-A896-04F9CD9DB00D}</author>
    <author>tc={5C556787-F996-4171-B38C-7803579CB2A4}</author>
    <author>tc={72E2FB63-3688-4B48-88D0-CAED0D23C589}</author>
    <author>tc={F968ECB7-E1F5-457B-A07C-42E4E5EB268C}</author>
    <author>tc={AF3A901D-8E9D-45CC-B589-1B589FF3FC60}</author>
    <author>tc={47D2B85D-E3E5-4F70-8D91-EA3CCFD1F13D}</author>
    <author>tc={E1FA0C4C-2601-4177-B5E4-1D21A3645C68}</author>
    <author>tc={B9EACEB1-2BD9-4F34-B6E2-747B0449A207}</author>
    <author>tc={ED34886C-3F09-4979-9F53-C5D63ECD2A2D}</author>
    <author>tc={C0EF3060-90FF-4CAF-9AFD-A193272B9267}</author>
    <author>tc={01765B5D-E8F7-4AFC-8F00-B4B1E572F93E}</author>
  </authors>
  <commentList>
    <comment ref="B3" authorId="0" shapeId="0" xr:uid="{B73AA7F1-9A41-44FF-8307-921E7132161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Values from Hydroden Technology Mobile and Portable Applications</t>
      </text>
    </comment>
    <comment ref="E4" authorId="1" shapeId="0" xr:uid="{BA71680B-2FFE-4846-B5DE-002BF33B228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Table 3S - Liquid Organic Hydrogen Carriers: Thermophysical and
Thermochemical Studies of Benzyl- and Dibenzyl-toluene
Derivatives. Karsten Müller</t>
      </text>
    </comment>
    <comment ref="B5" authorId="2" shapeId="0" xr:uid="{F3F65C9B-9013-462D-ABDB-4EE71948594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Average Molarmass - Table A-1, Cengel Fluid Mechanics 4th edition, McGraw Hill educatio</t>
      </text>
    </comment>
    <comment ref="E5" authorId="3" shapeId="0" xr:uid="{AE623A47-572A-430E-9141-CA958025895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Table 3S - Liquid Organic Hydrogen Carriers: Thermophysical and
Thermochemical Studies of Benzyl- and Dibenzyl-toluene
Derivatives. Karsten Müller</t>
      </text>
    </comment>
    <comment ref="E7" authorId="4" shapeId="0" xr:uid="{DABFC885-AA2C-4CD1-AC5E-D906C554FBC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Niermann 2019</t>
      </text>
    </comment>
    <comment ref="E10" authorId="5" shapeId="0" xr:uid="{BA9F95C7-1BF0-4F22-979E-5DB65206E44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https://www.engineeringtoolbox.com/fuel-oil-storage-tanks-dimensions-d_1585.html</t>
      </text>
    </comment>
    <comment ref="E11" authorId="6" shapeId="0" xr:uid="{ACC3F687-4DCE-4271-9B63-6522527D016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https://www.engineeringtoolbox.com/fuel-oil-storage-tanks-dimensions-d_1585.html</t>
      </text>
    </comment>
    <comment ref="H13" authorId="7" shapeId="0" xr:uid="{F0B5AC4C-DDC6-4604-BA2C-1A84FFCBE6C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https://www.steamtablesonline.com/steam97web.aspx</t>
      </text>
    </comment>
    <comment ref="E14" authorId="8" shapeId="0" xr:uid="{D7648C8E-AE13-4114-8269-41A5804BCB0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Table 3S - Liquid Organic Hydrogen Carriers: Thermophysical and
Thermochemical Studies of Benzyl- and Dibenzyl-toluene
Derivatives. Karsten Müller</t>
      </text>
    </comment>
    <comment ref="H14" authorId="9" shapeId="0" xr:uid="{4FCB2009-6AB2-41B7-AFE4-297344E1A2D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https://www.engineeringtoolbox.com/water-density-specific-weight-d_595.html</t>
      </text>
    </comment>
    <comment ref="H15" authorId="10" shapeId="0" xr:uid="{240B7FE7-24E2-4106-ACCF-7F4DF81DAA0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https://www.steamtablesonline.com/steam97web.aspx</t>
      </text>
    </comment>
    <comment ref="B16" authorId="11" shapeId="0" xr:uid="{D33F748D-5134-4EBF-BB5D-B282E7A66E3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ebbook.nist.gov/cgi/fluid.cgi?T=20&amp;PLow=0&amp;PHigh=5&amp;PInc=1&amp;Applet=on&amp;Digits=5&amp;ID=C1333740&amp;Action=Load&amp;Type=IsoTherm&amp;TUnit=C&amp;PUnit=bar&amp;DUnit=kg%2Fm3&amp;HUnit=kJ%2Fkg&amp;WUnit=m%2Fs&amp;VisUnit=cP&amp;STUnit=N%2Fm&amp;RefState=DEF</t>
      </text>
    </comment>
    <comment ref="E17" authorId="12" shapeId="0" xr:uid="{258683EC-D48B-4316-BDC0-7E0AE10CFA3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https://webbook.nist.gov/chemistry/fluid/</t>
      </text>
    </comment>
    <comment ref="H17" authorId="13" shapeId="0" xr:uid="{CDA5146D-FA1D-4659-B64D-63DDE4BD531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Average Molarmass - Table A-1, Cengel Thermodynamics 8th edition, McGraw Hill educatio</t>
      </text>
    </comment>
    <comment ref="B18" authorId="14" shapeId="0" xr:uid="{AEBC43B8-D74A-4149-A74E-57C5D8CE3B2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Hydrogen Technology Mobile and Portable Applocations - Table 6.1</t>
      </text>
    </comment>
    <comment ref="E18" authorId="15" shapeId="0" xr:uid="{A2367E79-874C-4712-93E0-EED6FB6AD3A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https://reader.elsevier.com/reader/sd/pii/S0360128517302320?token=989FF52A75817DEF353639B98DCA0E99B5B3C66F63E8DB0E387CEB547679B62B50C68EBA2E67CE7EB59BEFA2C08769C8&amp;originRegion=eu-west-1&amp;originCreation=20210417090652</t>
      </text>
    </comment>
    <comment ref="B20" authorId="16" shapeId="0" xr:uid="{562DAB4F-6826-4CDC-A729-8F9F2659370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Hydrogen Technology Mobile and Portable Applocations - Table 6.1</t>
      </text>
    </comment>
    <comment ref="B22" authorId="17" shapeId="0" xr:uid="{6494EA75-5643-4C81-A896-04F9CD9DB00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Hydrogen Technology Mobile and Portable Applocations - Table 6.1</t>
      </text>
    </comment>
    <comment ref="B24" authorId="18" shapeId="0" xr:uid="{5C556787-F996-4171-B38C-7803579CB2A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https://static1.squarespace.com/static/5d1c6c223c9d400001e2f407/t/5fdb362533c6977cf5b32e7f/1608201769287/Endelig+rapport_B.0+Hydrogen+value+chains+2030_V4.pdf</t>
      </text>
    </comment>
    <comment ref="H24" authorId="19" shapeId="0" xr:uid="{72E2FB63-3688-4B48-88D0-CAED0D23C58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Hydrogen Technology Mobile and Portable Applocations - Table 6.1</t>
      </text>
    </comment>
    <comment ref="B25" authorId="20" shapeId="0" xr:uid="{F968ECB7-E1F5-457B-A07C-42E4E5EB268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https://static1.squarespace.com/static/5d1c6c223c9d400001e2f407/t/5fdb362533c6977cf5b32e7f/1608201769287/Endelig+rapport_B.0+Hydrogen+value+chains+2030_V4.pdf</t>
      </text>
    </comment>
    <comment ref="H25" authorId="21" shapeId="0" xr:uid="{AF3A901D-8E9D-45CC-B589-1B589FF3FC6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Hydrogen Technology Mobile and Portable Applocations - Table 6.1</t>
      </text>
    </comment>
    <comment ref="H26" authorId="22" shapeId="0" xr:uid="{47D2B85D-E3E5-4F70-8D91-EA3CCFD1F13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Hydrogen Technology Mobile and Portable Applocations - Table 6.1</t>
      </text>
    </comment>
    <comment ref="E27" authorId="23" shapeId="0" xr:uid="{E1FA0C4C-2601-4177-B5E4-1D21A3645C6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https://www.wfscorp.com/sites/default/files/ISO-8217-2017-Tables-1-and-2-1-1.pdf</t>
      </text>
    </comment>
    <comment ref="E30" authorId="24" shapeId="0" xr:uid="{B9EACEB1-2BD9-4F34-B6E2-747B0449A20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https://www.regjeringen.no/no/sub/eos-notatbasen/notatene/2013/jan/svovelinnhold-i-marint-drivstoff/id2433131/#:~:text=Fra%202015%20er%20grensen%20i,generell%20grense%20p%C3%A5%200%2C10%20%25</t>
      </text>
    </comment>
    <comment ref="H31" authorId="25" shapeId="0" xr:uid="{ED34886C-3F09-4979-9F53-C5D63ECD2A2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Hydrogen Technology Mobile and Portable Applocations - Table 6.1</t>
      </text>
    </comment>
    <comment ref="H32" authorId="26" shapeId="0" xr:uid="{C0EF3060-90FF-4CAF-9AFD-A193272B926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Hydrogen Technology Mobile and Portable Applocations - Table 6.1</t>
      </text>
    </comment>
    <comment ref="H33" authorId="27" shapeId="0" xr:uid="{01765B5D-E8F7-4AFC-8F00-B4B1E572F93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Hydrogen Technology Mobile and Portable Applocations - Table 6.1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3B30F01-578D-42A6-8B1A-D5EDC520ACF9}" keepAlive="1" name="Spørring - MarineTraffic" description="Tilkobling til spørringen MarineTraffic i arbeidsboken." type="5" refreshedVersion="6" background="1" saveData="1">
    <dbPr connection="Provider=Microsoft.Mashup.OleDb.1;Data Source=$Workbook$;Location=MarineTraffic;Extended Properties=&quot;&quot;" command="SELECT * FROM [MarineTraffic]"/>
  </connection>
</connections>
</file>

<file path=xl/sharedStrings.xml><?xml version="1.0" encoding="utf-8"?>
<sst xmlns="http://schemas.openxmlformats.org/spreadsheetml/2006/main" count="5541" uniqueCount="1971">
  <si>
    <t>﻿Vessels Name</t>
  </si>
  <si>
    <t>Event</t>
  </si>
  <si>
    <t>Date Time</t>
  </si>
  <si>
    <t>Event Content</t>
  </si>
  <si>
    <t>Area</t>
  </si>
  <si>
    <t>Area Local</t>
  </si>
  <si>
    <t>Speed</t>
  </si>
  <si>
    <t>Course</t>
  </si>
  <si>
    <t>Lat</t>
  </si>
  <si>
    <t>Lon</t>
  </si>
  <si>
    <t>RUBIN</t>
  </si>
  <si>
    <t>Noon position</t>
  </si>
  <si>
    <t>At N 69° 14' 17.62" - E 019° 21' 33.06"</t>
  </si>
  <si>
    <t>NORDIC</t>
  </si>
  <si>
    <t>Norwegian Coast</t>
  </si>
  <si>
    <t>0.0</t>
  </si>
  <si>
    <t>69.23823</t>
  </si>
  <si>
    <t>19.35918</t>
  </si>
  <si>
    <t>In Terrestrial Range</t>
  </si>
  <si>
    <t>At N 69° 14' 17.51" - E 019° 21' 33.04"</t>
  </si>
  <si>
    <t>69.2382</t>
  </si>
  <si>
    <t>AIS Status Changed</t>
  </si>
  <si>
    <t>From [Underway using Engine] to [Moored]</t>
  </si>
  <si>
    <t>Arrival</t>
  </si>
  <si>
    <t>BERGNESET</t>
  </si>
  <si>
    <t/>
  </si>
  <si>
    <t>Docked</t>
  </si>
  <si>
    <t>Berth: BER2  Terminal:   Port: BERGNESET</t>
  </si>
  <si>
    <t>Midnight position</t>
  </si>
  <si>
    <t>At N 69° 29' 24.12" - E 018° 55' 54.98"</t>
  </si>
  <si>
    <t>10.9</t>
  </si>
  <si>
    <t>69.49004</t>
  </si>
  <si>
    <t>18.93194</t>
  </si>
  <si>
    <t>Changed Course</t>
  </si>
  <si>
    <t>New Course is [97°]</t>
  </si>
  <si>
    <t>69.51392</t>
  </si>
  <si>
    <t>18.16389</t>
  </si>
  <si>
    <t>New Course is [137°]</t>
  </si>
  <si>
    <t>69.54498</t>
  </si>
  <si>
    <t>18.02544</t>
  </si>
  <si>
    <t>New Course is [167°]</t>
  </si>
  <si>
    <t>69.6417</t>
  </si>
  <si>
    <t>17.92919</t>
  </si>
  <si>
    <t>New Course is [209°]</t>
  </si>
  <si>
    <t>69.74843</t>
  </si>
  <si>
    <t>18.14679</t>
  </si>
  <si>
    <t>New Course is [241°]</t>
  </si>
  <si>
    <t>69.76596</t>
  </si>
  <si>
    <t>18.21463</t>
  </si>
  <si>
    <t>Underway</t>
  </si>
  <si>
    <t>At N 69° 44' 58.32" - E 018° 14' 37.48"</t>
  </si>
  <si>
    <t>3.7</t>
  </si>
  <si>
    <t>69.74953</t>
  </si>
  <si>
    <t>18.24375</t>
  </si>
  <si>
    <t>Sailing in high winds</t>
  </si>
  <si>
    <t>27 knots  208°</t>
  </si>
  <si>
    <t>69.74776</t>
  </si>
  <si>
    <t>18.24365</t>
  </si>
  <si>
    <t>Stopped</t>
  </si>
  <si>
    <t>At N 69° 44' 51.48" - E 018° 14' 37.12"</t>
  </si>
  <si>
    <t>0.3</t>
  </si>
  <si>
    <t>69.74763</t>
  </si>
  <si>
    <t>New Course is [316°]</t>
  </si>
  <si>
    <t>11.2</t>
  </si>
  <si>
    <t>69.71088</t>
  </si>
  <si>
    <t>18.31104</t>
  </si>
  <si>
    <t>At N 69° 42' 40.30" - E 018° 22' 18.89"</t>
  </si>
  <si>
    <t>3.9</t>
  </si>
  <si>
    <t>69.7112</t>
  </si>
  <si>
    <t>18.37192</t>
  </si>
  <si>
    <t>At N 69° 42' 41.18" - E 018° 22' 02.16"</t>
  </si>
  <si>
    <t>0.5</t>
  </si>
  <si>
    <t>69.71144</t>
  </si>
  <si>
    <t>18.36727</t>
  </si>
  <si>
    <t>New Course is [74°]</t>
  </si>
  <si>
    <t>11.0</t>
  </si>
  <si>
    <t>69.70493</t>
  </si>
  <si>
    <t>18.36014</t>
  </si>
  <si>
    <t>New Course is [114°]</t>
  </si>
  <si>
    <t>69.70976</t>
  </si>
  <si>
    <t>18.21982</t>
  </si>
  <si>
    <t>At N 69° 41' 43.17" - E 018° 09' 54.66"</t>
  </si>
  <si>
    <t>69.69533</t>
  </si>
  <si>
    <t>18.16519</t>
  </si>
  <si>
    <t>At N 69° 41' 39.60" - E 018° 09' 58.63"</t>
  </si>
  <si>
    <t>0.4</t>
  </si>
  <si>
    <t>69.69434</t>
  </si>
  <si>
    <t>18.16629</t>
  </si>
  <si>
    <t>At N 69° 26' 04.64" - E 018° 09' 03.69"</t>
  </si>
  <si>
    <t>6.3</t>
  </si>
  <si>
    <t>69.43462</t>
  </si>
  <si>
    <t>18.15103</t>
  </si>
  <si>
    <t>At N 69° 25' 58.52" - E 018° 09' 06.89"</t>
  </si>
  <si>
    <t>69.43292</t>
  </si>
  <si>
    <t>18.15191</t>
  </si>
  <si>
    <t>At N 69° 25' 58.54" - E 018° 09' 07.15"</t>
  </si>
  <si>
    <t>0.1</t>
  </si>
  <si>
    <t>69.43293</t>
  </si>
  <si>
    <t>18.15199</t>
  </si>
  <si>
    <t>New Course is [64°]</t>
  </si>
  <si>
    <t>12.0</t>
  </si>
  <si>
    <t>69.09075</t>
  </si>
  <si>
    <t>17.4467</t>
  </si>
  <si>
    <t>New Course is [32°]</t>
  </si>
  <si>
    <t>69.02492</t>
  </si>
  <si>
    <t>17.29301</t>
  </si>
  <si>
    <t>New Course is [73°]</t>
  </si>
  <si>
    <t>69.00266</t>
  </si>
  <si>
    <t>17.22479</t>
  </si>
  <si>
    <t>New Course is [105°]</t>
  </si>
  <si>
    <t>69.00655</t>
  </si>
  <si>
    <t>16.86145</t>
  </si>
  <si>
    <t>New Course is [148°]</t>
  </si>
  <si>
    <t>69.02657</t>
  </si>
  <si>
    <t>16.79122</t>
  </si>
  <si>
    <t>New Course is [179°]</t>
  </si>
  <si>
    <t>69.06042</t>
  </si>
  <si>
    <t>16.74643</t>
  </si>
  <si>
    <t>New Course is [214°]</t>
  </si>
  <si>
    <t>11.3</t>
  </si>
  <si>
    <t>69.12009</t>
  </si>
  <si>
    <t>16.79123</t>
  </si>
  <si>
    <t>New Course is [247°]</t>
  </si>
  <si>
    <t>69.1506</t>
  </si>
  <si>
    <t>16.94821</t>
  </si>
  <si>
    <t>At N 69° 08' 38.88" - E 017° 01' 00.74"</t>
  </si>
  <si>
    <t>69.14413</t>
  </si>
  <si>
    <t>17.01687</t>
  </si>
  <si>
    <t>At N 69° 08' 43.14" - E 017° 00' 30.68"</t>
  </si>
  <si>
    <t>0.2</t>
  </si>
  <si>
    <t>69.14532</t>
  </si>
  <si>
    <t>17.00852</t>
  </si>
  <si>
    <t>New Course is [349°]</t>
  </si>
  <si>
    <t>68.95592</t>
  </si>
  <si>
    <t>16.81924</t>
  </si>
  <si>
    <t>At N 68° 56' 31.09" - E 016° 49' 03.72"</t>
  </si>
  <si>
    <t>3.8</t>
  </si>
  <si>
    <t>68.94197</t>
  </si>
  <si>
    <t>16.8177</t>
  </si>
  <si>
    <t>At N 68° 56' 03.35" - E 016° 48' 47.74"</t>
  </si>
  <si>
    <t>68.93427</t>
  </si>
  <si>
    <t>16.81326</t>
  </si>
  <si>
    <t>At N 68° 55' 42.15" - E 016° 48' 26.25"</t>
  </si>
  <si>
    <t>0.8</t>
  </si>
  <si>
    <t>68.92838</t>
  </si>
  <si>
    <t>16.80729</t>
  </si>
  <si>
    <t>New Course is [37°]</t>
  </si>
  <si>
    <t>68.89766</t>
  </si>
  <si>
    <t>16.66797</t>
  </si>
  <si>
    <t>New Course is [4°]</t>
  </si>
  <si>
    <t>68.87135</t>
  </si>
  <si>
    <t>16.65273</t>
  </si>
  <si>
    <t>At N 68° 51' 53.71" - E 016° 40' 24.16"</t>
  </si>
  <si>
    <t>68.86492</t>
  </si>
  <si>
    <t>16.67338</t>
  </si>
  <si>
    <t>End of proximity to another vessel</t>
  </si>
  <si>
    <t>Stayed close to vessel FALK for 13 minutes</t>
  </si>
  <si>
    <t>68.86588</t>
  </si>
  <si>
    <t>16.67385</t>
  </si>
  <si>
    <t>Start of proximity to another vessel</t>
  </si>
  <si>
    <t>Distance from vessel FALK is 58m</t>
  </si>
  <si>
    <t>At N 68° 51' 58.08" - E 016° 40' 26.54"</t>
  </si>
  <si>
    <t>68.86613</t>
  </si>
  <si>
    <t>16.67404</t>
  </si>
  <si>
    <t>New Course is [202°]</t>
  </si>
  <si>
    <t>68.87335</t>
  </si>
  <si>
    <t>16.67505</t>
  </si>
  <si>
    <t>New Course is [252°]</t>
  </si>
  <si>
    <t>11.9</t>
  </si>
  <si>
    <t>68.92599</t>
  </si>
  <si>
    <t>17.05857</t>
  </si>
  <si>
    <t>At N 68° 55' 28.88" - E 017° 08' 26.84"</t>
  </si>
  <si>
    <t>68.92469</t>
  </si>
  <si>
    <t>17.14079</t>
  </si>
  <si>
    <t>At N 68° 55' 24.68" - E 017° 08' 47.28"</t>
  </si>
  <si>
    <t>68.92352</t>
  </si>
  <si>
    <t>17.14647</t>
  </si>
  <si>
    <t>New Course is [216°]</t>
  </si>
  <si>
    <t>68.9237</t>
  </si>
  <si>
    <t>17.15845</t>
  </si>
  <si>
    <t>New Course is [24°]</t>
  </si>
  <si>
    <t>68.92699</t>
  </si>
  <si>
    <t>17.10125</t>
  </si>
  <si>
    <t>New Course is [353°]</t>
  </si>
  <si>
    <t>11.8</t>
  </si>
  <si>
    <t>68.77153</t>
  </si>
  <si>
    <t>17.19427</t>
  </si>
  <si>
    <t>11.7</t>
  </si>
  <si>
    <t>68.71098</t>
  </si>
  <si>
    <t>17.0926</t>
  </si>
  <si>
    <t>At N 68° 41' 31.47" - E 017° 03' 05.75"</t>
  </si>
  <si>
    <t>3.6</t>
  </si>
  <si>
    <t>68.69208</t>
  </si>
  <si>
    <t>17.0516</t>
  </si>
  <si>
    <t>At N 68° 41' 34.03" - E 017° 03' 01.13"</t>
  </si>
  <si>
    <t>68.69279</t>
  </si>
  <si>
    <t>17.05031</t>
  </si>
  <si>
    <t>New Course is [285°]</t>
  </si>
  <si>
    <t>68.69256</t>
  </si>
  <si>
    <t>17.05458</t>
  </si>
  <si>
    <t>New Course is [236°]</t>
  </si>
  <si>
    <t>68.81649</t>
  </si>
  <si>
    <t>17.40022</t>
  </si>
  <si>
    <t>New Course is [284°]</t>
  </si>
  <si>
    <t>68.82262</t>
  </si>
  <si>
    <t>17.4897</t>
  </si>
  <si>
    <t>At N 68° 47' 02.38" - E 017° 37' 59.18"</t>
  </si>
  <si>
    <t>68.784</t>
  </si>
  <si>
    <t>17.63311</t>
  </si>
  <si>
    <t>At N 68° 46' 59.09" - E 017° 38' 10.84"</t>
  </si>
  <si>
    <t>68.78308</t>
  </si>
  <si>
    <t>17.63635</t>
  </si>
  <si>
    <t>New Course is [111°]</t>
  </si>
  <si>
    <t>68.78294</t>
  </si>
  <si>
    <t>17.63406</t>
  </si>
  <si>
    <t>New Course is [153°]</t>
  </si>
  <si>
    <t>11.6</t>
  </si>
  <si>
    <t>68.82855</t>
  </si>
  <si>
    <t>17.46769</t>
  </si>
  <si>
    <t>New Course is [198°]</t>
  </si>
  <si>
    <t>68.87226</t>
  </si>
  <si>
    <t>17.49401</t>
  </si>
  <si>
    <t>New Course is [145°]</t>
  </si>
  <si>
    <t>68.89267</t>
  </si>
  <si>
    <t>17.4391</t>
  </si>
  <si>
    <t>69.00346</t>
  </si>
  <si>
    <t>17.31939</t>
  </si>
  <si>
    <t>New Course is [211°]</t>
  </si>
  <si>
    <t>69.06727</t>
  </si>
  <si>
    <t>17.3722</t>
  </si>
  <si>
    <t>At N 69° 04' 36.52" - E 017° 23' 25.72"</t>
  </si>
  <si>
    <t>69.07681</t>
  </si>
  <si>
    <t>17.39048</t>
  </si>
  <si>
    <t>New Course is [248°]</t>
  </si>
  <si>
    <t>69.0906</t>
  </si>
  <si>
    <t>17.44405</t>
  </si>
  <si>
    <t>At N 69° 05' 36.75" - E 017° 31' 17.53"</t>
  </si>
  <si>
    <t>4.2</t>
  </si>
  <si>
    <t>69.09354</t>
  </si>
  <si>
    <t>17.52154</t>
  </si>
  <si>
    <t>At N 69° 05' 33.10" - E 017° 31' 07.16"</t>
  </si>
  <si>
    <t>69.09253</t>
  </si>
  <si>
    <t>17.51866</t>
  </si>
  <si>
    <t>New Course is [225°]</t>
  </si>
  <si>
    <t>69.12202</t>
  </si>
  <si>
    <t>17.59989</t>
  </si>
  <si>
    <t>At N 69° 08' 31.63" - E 017° 39' 12.09"</t>
  </si>
  <si>
    <t>69.14212</t>
  </si>
  <si>
    <t>17.65336</t>
  </si>
  <si>
    <t>Stayed close to vessel GARD for 39 minutes</t>
  </si>
  <si>
    <t>69.14387</t>
  </si>
  <si>
    <t>17.65279</t>
  </si>
  <si>
    <t>Distance from vessel GARD is 102m</t>
  </si>
  <si>
    <t>At N 69° 08' 37.15" - E 017° 39' 13.01"</t>
  </si>
  <si>
    <t>69.14365</t>
  </si>
  <si>
    <t>17.65361</t>
  </si>
  <si>
    <t>New Course is [290°]</t>
  </si>
  <si>
    <t>12.1</t>
  </si>
  <si>
    <t>69.13898</t>
  </si>
  <si>
    <t>17.70964</t>
  </si>
  <si>
    <t>At N 69° 07' 35.90" - E 017° 47' 53.48"</t>
  </si>
  <si>
    <t>4.6</t>
  </si>
  <si>
    <t>69.12664</t>
  </si>
  <si>
    <t>17.79819</t>
  </si>
  <si>
    <t>At N 69° 07' 38.70" - E 017° 48' 00.55"</t>
  </si>
  <si>
    <t>0.9</t>
  </si>
  <si>
    <t>69.12742</t>
  </si>
  <si>
    <t>17.80015</t>
  </si>
  <si>
    <t>At N 69° 33' 04.54" - E 018° 52' 48.42"</t>
  </si>
  <si>
    <t>69.55126</t>
  </si>
  <si>
    <t>18.88012</t>
  </si>
  <si>
    <t>Departure</t>
  </si>
  <si>
    <t>Undocked</t>
  </si>
  <si>
    <t>From [Moored] to [Underway using Engine]</t>
  </si>
  <si>
    <t>19.35913</t>
  </si>
  <si>
    <t>At N 69° 14' 17.62" - E 019° 21' 32.96"</t>
  </si>
  <si>
    <t>19.35916</t>
  </si>
  <si>
    <t>At N 69° 14' 17.56" - E 019° 21' 32.78"</t>
  </si>
  <si>
    <t>69.23821</t>
  </si>
  <si>
    <t>19.35911</t>
  </si>
  <si>
    <t>19.35908</t>
  </si>
  <si>
    <t>69.23808</t>
  </si>
  <si>
    <t>19.36098</t>
  </si>
  <si>
    <t>69.23805</t>
  </si>
  <si>
    <t>19.36073</t>
  </si>
  <si>
    <t>TROMSO</t>
  </si>
  <si>
    <t>Berth: TRO26  Terminal:   Port: TROMSO</t>
  </si>
  <si>
    <t>Stayed close to vessel LANCE for 1476 minutes</t>
  </si>
  <si>
    <t>69.64655</t>
  </si>
  <si>
    <t>18.98016</t>
  </si>
  <si>
    <t>18.98028</t>
  </si>
  <si>
    <t>At N 69° 38' 47.59" - E 018° 58' 48.96"</t>
  </si>
  <si>
    <t>18.98027</t>
  </si>
  <si>
    <t>At N 69° 38' 47.61" - E 018° 58' 49.06"</t>
  </si>
  <si>
    <t>69.64656</t>
  </si>
  <si>
    <t>18.9803</t>
  </si>
  <si>
    <t>69.64653</t>
  </si>
  <si>
    <t>Distance from vessel LANCE is 23m</t>
  </si>
  <si>
    <t>Berth: TRO12  Terminal:   Port: TROMSO</t>
  </si>
  <si>
    <t>69.65898</t>
  </si>
  <si>
    <t>18.97238</t>
  </si>
  <si>
    <t>At N 69° 39' 32.33" - E 018° 58' 20.63"</t>
  </si>
  <si>
    <t>18.9724</t>
  </si>
  <si>
    <t>At N 69° 39' 32.27" - E 018° 58' 20.68"</t>
  </si>
  <si>
    <t>69.65897</t>
  </si>
  <si>
    <t>18.97241</t>
  </si>
  <si>
    <t>69.65896</t>
  </si>
  <si>
    <t>18.97237</t>
  </si>
  <si>
    <t>At N 68° 07' 27.22" - E 015° 17' 28.50"</t>
  </si>
  <si>
    <t>68.12423</t>
  </si>
  <si>
    <t>15.29125</t>
  </si>
  <si>
    <t>27 knots  148°</t>
  </si>
  <si>
    <t>67.55666</t>
  </si>
  <si>
    <t>14.50333</t>
  </si>
  <si>
    <t>At N 66° 10' 17.81" - E 012° 50' 12.46"</t>
  </si>
  <si>
    <t>66.17162</t>
  </si>
  <si>
    <t>12.83679</t>
  </si>
  <si>
    <t>New Course is [42°]</t>
  </si>
  <si>
    <t>64.68631</t>
  </si>
  <si>
    <t>10.83918</t>
  </si>
  <si>
    <t>New Course is [12°]</t>
  </si>
  <si>
    <t>64.58976</t>
  </si>
  <si>
    <t>10.75059</t>
  </si>
  <si>
    <t>New Course is [330°]</t>
  </si>
  <si>
    <t>64.5592</t>
  </si>
  <si>
    <t>10.75069</t>
  </si>
  <si>
    <t>At N 64° 31' 44.72" - E 010° 45' 06.57"</t>
  </si>
  <si>
    <t>5.7</t>
  </si>
  <si>
    <t>64.52909</t>
  </si>
  <si>
    <t>10.75183</t>
  </si>
  <si>
    <t>At N 64° 31' 34.67" - E 010° 45' 11.34"</t>
  </si>
  <si>
    <t>64.5263</t>
  </si>
  <si>
    <t>10.75315</t>
  </si>
  <si>
    <t>At N 64° 30' 20.29" - E 010° 34' 28.65"</t>
  </si>
  <si>
    <t>64.50564</t>
  </si>
  <si>
    <t>10.57463</t>
  </si>
  <si>
    <t>New Course is [274°]</t>
  </si>
  <si>
    <t>63.15201</t>
  </si>
  <si>
    <t>8.40911</t>
  </si>
  <si>
    <t>At N 63° 08' 49.12" - E 008° 27' 55.18"</t>
  </si>
  <si>
    <t>63.14698</t>
  </si>
  <si>
    <t>8.46533</t>
  </si>
  <si>
    <t>At N 63° 08' 37.27" - E 008° 27' 43.51"</t>
  </si>
  <si>
    <t>63.14369</t>
  </si>
  <si>
    <t>8.462087</t>
  </si>
  <si>
    <t>At N 63° 08' 37.63" - E 008° 27' 44.20"</t>
  </si>
  <si>
    <t>63.14379</t>
  </si>
  <si>
    <t>New Course is [125°]</t>
  </si>
  <si>
    <t>63.14957</t>
  </si>
  <si>
    <t>8.462145</t>
  </si>
  <si>
    <t>New Course is [86°]</t>
  </si>
  <si>
    <t>63.15277</t>
  </si>
  <si>
    <t>8.272845</t>
  </si>
  <si>
    <t>New Course is [52°]</t>
  </si>
  <si>
    <t>63.14065</t>
  </si>
  <si>
    <t>8.190773</t>
  </si>
  <si>
    <t>New Course is [3°]</t>
  </si>
  <si>
    <t>63.11297</t>
  </si>
  <si>
    <t>8.144647</t>
  </si>
  <si>
    <t>Areas of Interest - Left</t>
  </si>
  <si>
    <t>Stayed within 'North Sea' for 86 minutes</t>
  </si>
  <si>
    <t>63.08516</t>
  </si>
  <si>
    <t>8.168563</t>
  </si>
  <si>
    <t>New Course is [333°]</t>
  </si>
  <si>
    <t>North Sea</t>
  </si>
  <si>
    <t>63.07318</t>
  </si>
  <si>
    <t>8.181535</t>
  </si>
  <si>
    <t>At N 63° 02' 51.09" - E 008° 12' 57.44"</t>
  </si>
  <si>
    <t>63.04753</t>
  </si>
  <si>
    <t>8.215957</t>
  </si>
  <si>
    <t>At N 63° 02' 52.22" - E 008° 13' 02.99"</t>
  </si>
  <si>
    <t>63.04784</t>
  </si>
  <si>
    <t>8.2175</t>
  </si>
  <si>
    <t>New Course is [228°]</t>
  </si>
  <si>
    <t>63.04873</t>
  </si>
  <si>
    <t>8.22235</t>
  </si>
  <si>
    <t>Areas of Interest - Entered</t>
  </si>
  <si>
    <t>At N 63° 04' 32.69" - E 008° 11' 58.84"</t>
  </si>
  <si>
    <t>63.07575</t>
  </si>
  <si>
    <t>8.199678</t>
  </si>
  <si>
    <t>At N 63° 04' 37.10" - E 008° 11' 55.03"</t>
  </si>
  <si>
    <t>0.6</t>
  </si>
  <si>
    <t>63.07697</t>
  </si>
  <si>
    <t>8.198622</t>
  </si>
  <si>
    <t>New Course is [68°]</t>
  </si>
  <si>
    <t>63.07375</t>
  </si>
  <si>
    <t>8.193455</t>
  </si>
  <si>
    <t>New Course is [128°]</t>
  </si>
  <si>
    <t>63.11223</t>
  </si>
  <si>
    <t>8.11686</t>
  </si>
  <si>
    <t>New Course is [77°]</t>
  </si>
  <si>
    <t>63.11962</t>
  </si>
  <si>
    <t>8.047337</t>
  </si>
  <si>
    <t>New Course is [45°]</t>
  </si>
  <si>
    <t>63.09676</t>
  </si>
  <si>
    <t>7.940341</t>
  </si>
  <si>
    <t>Stayed within 'North Sea'</t>
  </si>
  <si>
    <t>63.09367</t>
  </si>
  <si>
    <t>7.93344</t>
  </si>
  <si>
    <t>At N 63° 04' 35.72" - E 007° 53' 49.34"</t>
  </si>
  <si>
    <t>63.07659</t>
  </si>
  <si>
    <t>7.89704</t>
  </si>
  <si>
    <t>At N 63° 04' 30.51" - E 007° 53' 56.10"</t>
  </si>
  <si>
    <t>63.07514</t>
  </si>
  <si>
    <t>7.898917</t>
  </si>
  <si>
    <t>New Course is [33°]</t>
  </si>
  <si>
    <t>63.0607</t>
  </si>
  <si>
    <t>7.89986</t>
  </si>
  <si>
    <t>At N 63° 02' 32.92" - E 007° 51' 11.24"</t>
  </si>
  <si>
    <t>63.04248</t>
  </si>
  <si>
    <t>7.853123</t>
  </si>
  <si>
    <t>At N 63° 02' 29.63" - E 007° 50' 55.18"</t>
  </si>
  <si>
    <t>63.04156</t>
  </si>
  <si>
    <t>7.848663</t>
  </si>
  <si>
    <t>New Course is [46°]</t>
  </si>
  <si>
    <t>63.01884</t>
  </si>
  <si>
    <t>7.816072</t>
  </si>
  <si>
    <t>At N 63° 01' 53.61" - E 007° 42' 52.25"</t>
  </si>
  <si>
    <t>4.3</t>
  </si>
  <si>
    <t>63.03156</t>
  </si>
  <si>
    <t>7.714517</t>
  </si>
  <si>
    <t>At N 63° 01' 53.42" - E 007° 42' 47.03"</t>
  </si>
  <si>
    <t>63.03151</t>
  </si>
  <si>
    <t>7.713067</t>
  </si>
  <si>
    <t>New Course is [106°]</t>
  </si>
  <si>
    <t>63.03234</t>
  </si>
  <si>
    <t>7.701153</t>
  </si>
  <si>
    <t>At N 63° 03' 14.01" - E 007° 41' 50.68"</t>
  </si>
  <si>
    <t>63.05389</t>
  </si>
  <si>
    <t>7.697412</t>
  </si>
  <si>
    <t>At N 63° 03' 19.41" - E 007° 41' 56.31"</t>
  </si>
  <si>
    <t>63.05539</t>
  </si>
  <si>
    <t>7.698977</t>
  </si>
  <si>
    <t>Stayed within 'North Sea' for 3990 minutes</t>
  </si>
  <si>
    <t>63.10664</t>
  </si>
  <si>
    <t>7.54549</t>
  </si>
  <si>
    <t>New Course is [67°]</t>
  </si>
  <si>
    <t>62.97897</t>
  </si>
  <si>
    <t>6.89278</t>
  </si>
  <si>
    <t>At N 62° 53' 50.59" - E 006° 44' 55.18"</t>
  </si>
  <si>
    <t>62.89739</t>
  </si>
  <si>
    <t>6.748663</t>
  </si>
  <si>
    <t>New Course is [26°]</t>
  </si>
  <si>
    <t>62.84698</t>
  </si>
  <si>
    <t>6.679655</t>
  </si>
  <si>
    <t>New Course is [354°]</t>
  </si>
  <si>
    <t>62.81167</t>
  </si>
  <si>
    <t>6.67394</t>
  </si>
  <si>
    <t>At N 62° 47' 35.78" - E 006° 39' 54.99"</t>
  </si>
  <si>
    <t>62.79327</t>
  </si>
  <si>
    <t>6.665275</t>
  </si>
  <si>
    <t>At N 62° 47' 43.27" - E 006° 39' 48.04"</t>
  </si>
  <si>
    <t>62.79535</t>
  </si>
  <si>
    <t>6.663347</t>
  </si>
  <si>
    <t>New Course is [301°]</t>
  </si>
  <si>
    <t>62.76624</t>
  </si>
  <si>
    <t>6.72521</t>
  </si>
  <si>
    <t>New Course is [269°]</t>
  </si>
  <si>
    <t>62.75563</t>
  </si>
  <si>
    <t>6.91456</t>
  </si>
  <si>
    <t>New Course is [343°]</t>
  </si>
  <si>
    <t>62.73032</t>
  </si>
  <si>
    <t>6.96276</t>
  </si>
  <si>
    <t>New Course is [313°]</t>
  </si>
  <si>
    <t>62.66271</t>
  </si>
  <si>
    <t>7.08831</t>
  </si>
  <si>
    <t>Stayed close to vessel SKORGENES for 61 minutes</t>
  </si>
  <si>
    <t>62.64465</t>
  </si>
  <si>
    <t>7.101065</t>
  </si>
  <si>
    <t>At N 62° 38' 38.23" - E 007° 05' 59.46"</t>
  </si>
  <si>
    <t>62.64396</t>
  </si>
  <si>
    <t>7.09985</t>
  </si>
  <si>
    <t>At N 62° 38' 40.10" - E 007° 06' 08.92"</t>
  </si>
  <si>
    <t>62.64447</t>
  </si>
  <si>
    <t>7.102479</t>
  </si>
  <si>
    <t>Distance from vessel SKORGENES is 65m</t>
  </si>
  <si>
    <t>7.102502</t>
  </si>
  <si>
    <t>At N 62° 18' 18.50" - E 005° 35' 17.51"</t>
  </si>
  <si>
    <t>62.30514</t>
  </si>
  <si>
    <t>5.588198</t>
  </si>
  <si>
    <t>Stayed within 'North Sea ECA'</t>
  </si>
  <si>
    <t>62.13891</t>
  </si>
  <si>
    <t>5.079255</t>
  </si>
  <si>
    <t>Stayed within 'NorthWestern Europe - MARPOL Annex I' for 2393 minutes</t>
  </si>
  <si>
    <t>62.02635</t>
  </si>
  <si>
    <t>5.149637</t>
  </si>
  <si>
    <t>Stayed within 'North Sea - MARPOL Annex V' for 2393 minutes</t>
  </si>
  <si>
    <t>MALOY</t>
  </si>
  <si>
    <t>AIS ETA Changed</t>
  </si>
  <si>
    <t>From [2021-02-17 20:12:00] to [2021-03-21 12:34:00]</t>
  </si>
  <si>
    <t>61.59567</t>
  </si>
  <si>
    <t>4.963987</t>
  </si>
  <si>
    <t>FLORO</t>
  </si>
  <si>
    <t>Berth: FLO9  Terminal:   Port: FLORO</t>
  </si>
  <si>
    <t>61.58432</t>
  </si>
  <si>
    <t>5.000751</t>
  </si>
  <si>
    <t>At N 61° 35' 03.64" - E 005° 00' 02.65"</t>
  </si>
  <si>
    <t>61.58435</t>
  </si>
  <si>
    <t>5.000738</t>
  </si>
  <si>
    <t>At N 61° 35' 03.62" - E 005° 00' 02.62"</t>
  </si>
  <si>
    <t>61.58434</t>
  </si>
  <si>
    <t>5.000728</t>
  </si>
  <si>
    <t>At N 61° 35' 02.68" - E 005° 00' 15.56"</t>
  </si>
  <si>
    <t>61.58408</t>
  </si>
  <si>
    <t>5.004323</t>
  </si>
  <si>
    <t>28 knots  174°</t>
  </si>
  <si>
    <t>61.58406</t>
  </si>
  <si>
    <t>5.004333</t>
  </si>
  <si>
    <t>61.58405</t>
  </si>
  <si>
    <t>5.004327</t>
  </si>
  <si>
    <t>NorthWestern Europe - MARPOL Annex I</t>
  </si>
  <si>
    <t>61.90226</t>
  </si>
  <si>
    <t>5.139568</t>
  </si>
  <si>
    <t>North Sea - MARPOL Annex V</t>
  </si>
  <si>
    <t>36 knots  183°</t>
  </si>
  <si>
    <t>62.18067</t>
  </si>
  <si>
    <t>5.047032</t>
  </si>
  <si>
    <t>29 knots  181°</t>
  </si>
  <si>
    <t>62.26986</t>
  </si>
  <si>
    <t>5.300632</t>
  </si>
  <si>
    <t>At N 62° 35' 31.64" - E 006° 15' 20.80"</t>
  </si>
  <si>
    <t>62.59212</t>
  </si>
  <si>
    <t>6.255778</t>
  </si>
  <si>
    <t>63.04707</t>
  </si>
  <si>
    <t>7.258425</t>
  </si>
  <si>
    <t>New Course is [223°]</t>
  </si>
  <si>
    <t>63.30561</t>
  </si>
  <si>
    <t>8.235476</t>
  </si>
  <si>
    <t>New Course is [193°]</t>
  </si>
  <si>
    <t>63.34436</t>
  </si>
  <si>
    <t>8.293132</t>
  </si>
  <si>
    <t>New Course is [163°]</t>
  </si>
  <si>
    <t>63.45114</t>
  </si>
  <si>
    <t>8.231635</t>
  </si>
  <si>
    <t>63.53307</t>
  </si>
  <si>
    <t>8.224862</t>
  </si>
  <si>
    <t>63.60268</t>
  </si>
  <si>
    <t>8.291324</t>
  </si>
  <si>
    <t>New Course is [254°]</t>
  </si>
  <si>
    <t>11.1</t>
  </si>
  <si>
    <t>63.64556</t>
  </si>
  <si>
    <t>8.549465</t>
  </si>
  <si>
    <t>At N 63° 37' 57.12" - E 008° 34' 46.54"</t>
  </si>
  <si>
    <t>63.63253</t>
  </si>
  <si>
    <t>8.579595</t>
  </si>
  <si>
    <t>Stayed close to vessel REODOR for 64 minutes</t>
  </si>
  <si>
    <t>63.63147</t>
  </si>
  <si>
    <t>8.578841</t>
  </si>
  <si>
    <t>Distance from vessel REODOR is 17m</t>
  </si>
  <si>
    <t>63.63148</t>
  </si>
  <si>
    <t>8.578822</t>
  </si>
  <si>
    <t>At N 63° 37' 53.33" - E 008° 34' 43.80"</t>
  </si>
  <si>
    <t>8.578834</t>
  </si>
  <si>
    <t>63.65022</t>
  </si>
  <si>
    <t>8.582256</t>
  </si>
  <si>
    <t>New Course is [270°]</t>
  </si>
  <si>
    <t>63.66566</t>
  </si>
  <si>
    <t>8.794372</t>
  </si>
  <si>
    <t>New Course is [231°]</t>
  </si>
  <si>
    <t>63.70435</t>
  </si>
  <si>
    <t>8.910922</t>
  </si>
  <si>
    <t>New Course is [195°]</t>
  </si>
  <si>
    <t>63.77316</t>
  </si>
  <si>
    <t>8.976235</t>
  </si>
  <si>
    <t>New Course is [144°]</t>
  </si>
  <si>
    <t>63.80547</t>
  </si>
  <si>
    <t>8.98405</t>
  </si>
  <si>
    <t>New Course is [101°]</t>
  </si>
  <si>
    <t>63.82956</t>
  </si>
  <si>
    <t>8.85147</t>
  </si>
  <si>
    <t>At N 63° 49' 51.79" - E 008° 50' 04.05"</t>
  </si>
  <si>
    <t>63.83105</t>
  </si>
  <si>
    <t>8.834458</t>
  </si>
  <si>
    <t>New Course is [36°]</t>
  </si>
  <si>
    <t>63.82913</t>
  </si>
  <si>
    <t>8.775142</t>
  </si>
  <si>
    <t>At N 63° 49' 19.86" - E 008° 45' 06.81"</t>
  </si>
  <si>
    <t>63.82219</t>
  </si>
  <si>
    <t>8.751892</t>
  </si>
  <si>
    <t>At N 63° 49' 21.88" - E 008° 44' 59.17"</t>
  </si>
  <si>
    <t>63.82275</t>
  </si>
  <si>
    <t>8.749772</t>
  </si>
  <si>
    <t>New Course is [233°]</t>
  </si>
  <si>
    <t>64.05962</t>
  </si>
  <si>
    <t>9.825933</t>
  </si>
  <si>
    <t>At N 64° 04' 58.80" - E 009° 52' 33.52"</t>
  </si>
  <si>
    <t>8.6</t>
  </si>
  <si>
    <t>64.083</t>
  </si>
  <si>
    <t>9.875978</t>
  </si>
  <si>
    <t>At N 64° 05' 13.76" - E 009° 52' 42.63"</t>
  </si>
  <si>
    <t>64.08716</t>
  </si>
  <si>
    <t>9.87851</t>
  </si>
  <si>
    <t>New Course is [280°]</t>
  </si>
  <si>
    <t>64.08186</t>
  </si>
  <si>
    <t>9.888456</t>
  </si>
  <si>
    <t>At N 64° 06' 06.20" - E 009° 59' 30.58"</t>
  </si>
  <si>
    <t>6.8</t>
  </si>
  <si>
    <t>64.10172</t>
  </si>
  <si>
    <t>9.99183</t>
  </si>
  <si>
    <t>At N 64° 07' 24.06" - E 010° 04' 08.98"</t>
  </si>
  <si>
    <t>0.7</t>
  </si>
  <si>
    <t>64.12335</t>
  </si>
  <si>
    <t>10.06916</t>
  </si>
  <si>
    <t>New Course is [71°]</t>
  </si>
  <si>
    <t>64.08272</t>
  </si>
  <si>
    <t>9.899807</t>
  </si>
  <si>
    <t>At N 64° 05' 05.41" - E 009° 52' 42.43"</t>
  </si>
  <si>
    <t>64.08484</t>
  </si>
  <si>
    <t>9.878455</t>
  </si>
  <si>
    <t>At N 64° 05' 13.90" - E 009° 52' 42.48"</t>
  </si>
  <si>
    <t>64.0872</t>
  </si>
  <si>
    <t>9.878469</t>
  </si>
  <si>
    <t>63.94041</t>
  </si>
  <si>
    <t>9.648555</t>
  </si>
  <si>
    <t>New Course is [352°]</t>
  </si>
  <si>
    <t>63.89901</t>
  </si>
  <si>
    <t>9.62705</t>
  </si>
  <si>
    <t>At N 63° 52' 15.23" - E 009° 36' 59.63"</t>
  </si>
  <si>
    <t>63.8709</t>
  </si>
  <si>
    <t>9.616565</t>
  </si>
  <si>
    <t>At N 63° 52' 13.14" - E 009° 36' 52.01"</t>
  </si>
  <si>
    <t>63.87032</t>
  </si>
  <si>
    <t>9.614449</t>
  </si>
  <si>
    <t>At N 63° 52' 13.21" - E 009° 36' 52.24"</t>
  </si>
  <si>
    <t>63.87034</t>
  </si>
  <si>
    <t>9.614513</t>
  </si>
  <si>
    <t>New Course is [11°]</t>
  </si>
  <si>
    <t>63.85014</t>
  </si>
  <si>
    <t>9.643713</t>
  </si>
  <si>
    <t>New Course is [51°]</t>
  </si>
  <si>
    <t>63.72089</t>
  </si>
  <si>
    <t>9.321038</t>
  </si>
  <si>
    <t>New Course is [17°]</t>
  </si>
  <si>
    <t>63.64165</t>
  </si>
  <si>
    <t>9.236525</t>
  </si>
  <si>
    <t>63.61466</t>
  </si>
  <si>
    <t>9.173892</t>
  </si>
  <si>
    <t>At N 63° 35' 54.46" - E 009° 06' 40.03"</t>
  </si>
  <si>
    <t>63.59846</t>
  </si>
  <si>
    <t>9.111122</t>
  </si>
  <si>
    <t>At N 63° 35' 47.37" - E 009° 06' 45.08"</t>
  </si>
  <si>
    <t>63.59649</t>
  </si>
  <si>
    <t>9.112523</t>
  </si>
  <si>
    <t>63.59889</t>
  </si>
  <si>
    <t>9.12578</t>
  </si>
  <si>
    <t>At N 63° 37' 14.16" - E 009° 07' 53.62"</t>
  </si>
  <si>
    <t>63.6206</t>
  </si>
  <si>
    <t>9.131561</t>
  </si>
  <si>
    <t>At N 63° 37' 09.57" - E 009° 07' 33.97"</t>
  </si>
  <si>
    <t>63.61933</t>
  </si>
  <si>
    <t>9.126105</t>
  </si>
  <si>
    <t>New Course is [240°]</t>
  </si>
  <si>
    <t>63.62067</t>
  </si>
  <si>
    <t>9.126217</t>
  </si>
  <si>
    <t>New Course is [282°]</t>
  </si>
  <si>
    <t>10.3</t>
  </si>
  <si>
    <t>63.60392</t>
  </si>
  <si>
    <t>9.404612</t>
  </si>
  <si>
    <t>63.58601</t>
  </si>
  <si>
    <t>9.455071</t>
  </si>
  <si>
    <t>At N 63° 34' 11.32" - E 009° 28' 32.54"</t>
  </si>
  <si>
    <t>63.56981</t>
  </si>
  <si>
    <t>9.475708</t>
  </si>
  <si>
    <t>At N 63° 34' 08.20" - E 009° 28' 30.69"</t>
  </si>
  <si>
    <t>63.56895</t>
  </si>
  <si>
    <t>9.475193</t>
  </si>
  <si>
    <t>New Course is [53°]</t>
  </si>
  <si>
    <t>63.47238</t>
  </si>
  <si>
    <t>9.008348</t>
  </si>
  <si>
    <t>At N 63° 27' 13.26" - E 008° 57' 08.14"</t>
  </si>
  <si>
    <t>63.45369</t>
  </si>
  <si>
    <t>8.952263</t>
  </si>
  <si>
    <t>Stayed close to vessel PLOESEN for 20 minutes</t>
  </si>
  <si>
    <t>63.45465</t>
  </si>
  <si>
    <t>8.951698</t>
  </si>
  <si>
    <t>Distance from vessel PLOESEN is 1m</t>
  </si>
  <si>
    <t>63.45464</t>
  </si>
  <si>
    <t>8.95172</t>
  </si>
  <si>
    <t>At N 63° 27' 16.63" - E 008° 57' 06.25"</t>
  </si>
  <si>
    <t>63.45462</t>
  </si>
  <si>
    <t>8.951738</t>
  </si>
  <si>
    <t>At N 63° 19' 18.83" - E 008° 17' 27.83"</t>
  </si>
  <si>
    <t>63.3219</t>
  </si>
  <si>
    <t>8.291065</t>
  </si>
  <si>
    <t>63.10803</t>
  </si>
  <si>
    <t>7.539232</t>
  </si>
  <si>
    <t>26 knots  256°</t>
  </si>
  <si>
    <t>63.04764</t>
  </si>
  <si>
    <t>7.266395</t>
  </si>
  <si>
    <t>62.13703</t>
  </si>
  <si>
    <t>5.080567</t>
  </si>
  <si>
    <t>Stayed within 'NorthWestern Europe - MARPOL Annex I' for 1339 minutes</t>
  </si>
  <si>
    <t>62.016</t>
  </si>
  <si>
    <t>5.154742</t>
  </si>
  <si>
    <t>Stayed within 'North Sea - MARPOL Annex V' for 1340 minutes</t>
  </si>
  <si>
    <t>At N 61° 48' 30.67" - E 005° 08' 34.00"</t>
  </si>
  <si>
    <t>61.80852</t>
  </si>
  <si>
    <t>5.142778</t>
  </si>
  <si>
    <t>From [2021-02-13 14:14:00] to [2021-03-21 12:34:00]</t>
  </si>
  <si>
    <t>61.60857</t>
  </si>
  <si>
    <t>4.968582</t>
  </si>
  <si>
    <t>1.3</t>
  </si>
  <si>
    <t>61.58441</t>
  </si>
  <si>
    <t>4.99999</t>
  </si>
  <si>
    <t>At N 61° 35' 03.71" - E 005° 00' 02.46"</t>
  </si>
  <si>
    <t>61.58437</t>
  </si>
  <si>
    <t>5.000685</t>
  </si>
  <si>
    <t>5.00071</t>
  </si>
  <si>
    <t>61.96635</t>
  </si>
  <si>
    <t>5.150825</t>
  </si>
  <si>
    <t>At N 62° 12' 57.81" - E 005° 52' 48.12"</t>
  </si>
  <si>
    <t>62.21606</t>
  </si>
  <si>
    <t>5.880033</t>
  </si>
  <si>
    <t>ALESUND</t>
  </si>
  <si>
    <t>Berth: ALE8  Terminal:   Port: ALESUND</t>
  </si>
  <si>
    <t>Stayed close to vessel RO FJORD for 860 minutes</t>
  </si>
  <si>
    <t>1.5</t>
  </si>
  <si>
    <t>62.47065</t>
  </si>
  <si>
    <t>6.159343</t>
  </si>
  <si>
    <t>62.47095</t>
  </si>
  <si>
    <t>6.159222</t>
  </si>
  <si>
    <t>At N 62° 28' 15.31" - E 006° 09' 33.20"</t>
  </si>
  <si>
    <t>62.47092</t>
  </si>
  <si>
    <t>6.159225</t>
  </si>
  <si>
    <t>62.47091</t>
  </si>
  <si>
    <t>6.159207</t>
  </si>
  <si>
    <t>Distance from vessel RO FJORD is 0m</t>
  </si>
  <si>
    <t>At N 63° 03' 13.34" - E 007° 18' 08.60"</t>
  </si>
  <si>
    <t>63.05371</t>
  </si>
  <si>
    <t>7.30239</t>
  </si>
  <si>
    <t>New Course is [260°]</t>
  </si>
  <si>
    <t>63.05404</t>
  </si>
  <si>
    <t>7.323643</t>
  </si>
  <si>
    <t>New Course is [230°]</t>
  </si>
  <si>
    <t>9.5</t>
  </si>
  <si>
    <t>63.1046</t>
  </si>
  <si>
    <t>7.52398</t>
  </si>
  <si>
    <t>New Course is [261°]</t>
  </si>
  <si>
    <t>63.14948</t>
  </si>
  <si>
    <t>7.769203</t>
  </si>
  <si>
    <t>New Course is [291°]</t>
  </si>
  <si>
    <t>63.13374</t>
  </si>
  <si>
    <t>7.91229</t>
  </si>
  <si>
    <t>New Course is [257°]</t>
  </si>
  <si>
    <t>63.12893</t>
  </si>
  <si>
    <t>7.98124</t>
  </si>
  <si>
    <t>At N 63° 08' 24.34" - E 008° 02' 01.19"</t>
  </si>
  <si>
    <t>5.5</t>
  </si>
  <si>
    <t>63.14009</t>
  </si>
  <si>
    <t>8.033665</t>
  </si>
  <si>
    <t>Stayed close to vessel SEIVIK for 66 minutes</t>
  </si>
  <si>
    <t>63.14007</t>
  </si>
  <si>
    <t>8.029959</t>
  </si>
  <si>
    <t>Stayed close to vessel HAVTRANS for 40 minutes</t>
  </si>
  <si>
    <t>63.14005</t>
  </si>
  <si>
    <t>8.02989</t>
  </si>
  <si>
    <t>Distance from vessel SEIVIK is 95m</t>
  </si>
  <si>
    <t>63.14004</t>
  </si>
  <si>
    <t>8.029708</t>
  </si>
  <si>
    <t>Distance from vessel HAVTRANS is 101m</t>
  </si>
  <si>
    <t>8.029906</t>
  </si>
  <si>
    <t>At N 63° 08' 24.38" - E 008° 01' 46.70"</t>
  </si>
  <si>
    <t>63.14011</t>
  </si>
  <si>
    <t>8.02964</t>
  </si>
  <si>
    <t>63.09418</t>
  </si>
  <si>
    <t>7.94013</t>
  </si>
  <si>
    <t>New Course is [35°]</t>
  </si>
  <si>
    <t>63.04713</t>
  </si>
  <si>
    <t>7.886525</t>
  </si>
  <si>
    <t>New Course is [65°]</t>
  </si>
  <si>
    <t>63.01349</t>
  </si>
  <si>
    <t>7.791695</t>
  </si>
  <si>
    <t>At N 63° 01' 53.57" - E 007° 43' 05.75"</t>
  </si>
  <si>
    <t>63.03155</t>
  </si>
  <si>
    <t>7.718266</t>
  </si>
  <si>
    <t>At N 63° 01' 53.22" - E 007° 42' 47.38"</t>
  </si>
  <si>
    <t>63.03145</t>
  </si>
  <si>
    <t>7.713161</t>
  </si>
  <si>
    <t>New Course is [102°]</t>
  </si>
  <si>
    <t>63.03286</t>
  </si>
  <si>
    <t>7.700077</t>
  </si>
  <si>
    <t>At N 63° 03' 25.67" - E 007° 41' 38.17"</t>
  </si>
  <si>
    <t>63.05713</t>
  </si>
  <si>
    <t>7.693938</t>
  </si>
  <si>
    <t>At N 63° 03' 19.41" - E 007° 41' 57.55"</t>
  </si>
  <si>
    <t>7.69932</t>
  </si>
  <si>
    <t>63.10788</t>
  </si>
  <si>
    <t>7.536787</t>
  </si>
  <si>
    <t>62.98225</t>
  </si>
  <si>
    <t>6.925372</t>
  </si>
  <si>
    <t>New Course is [30°]</t>
  </si>
  <si>
    <t>62.96632</t>
  </si>
  <si>
    <t>6.869142</t>
  </si>
  <si>
    <t>New Course is [350°]</t>
  </si>
  <si>
    <t>62.90909</t>
  </si>
  <si>
    <t>6.859472</t>
  </si>
  <si>
    <t>New Course is [317°]</t>
  </si>
  <si>
    <t>62.85774</t>
  </si>
  <si>
    <t>6.968605</t>
  </si>
  <si>
    <t>62.73613</t>
  </si>
  <si>
    <t>6.960835</t>
  </si>
  <si>
    <t>New Course is [319°]</t>
  </si>
  <si>
    <t>62.66888</t>
  </si>
  <si>
    <t>7.075258</t>
  </si>
  <si>
    <t>At N 62° 38' 38.66" - E 007° 06' 17.94"</t>
  </si>
  <si>
    <t>6.1</t>
  </si>
  <si>
    <t>62.64407</t>
  </si>
  <si>
    <t>7.104985</t>
  </si>
  <si>
    <t>At N 62° 38' 40.71" - E 007° 06' 05.06"</t>
  </si>
  <si>
    <t>62.64464</t>
  </si>
  <si>
    <t>7.101407</t>
  </si>
  <si>
    <t>Stayed within 'North Sea ECA' for 3735 minutes</t>
  </si>
  <si>
    <t>62.13241</t>
  </si>
  <si>
    <t>5.082057</t>
  </si>
  <si>
    <t>Stayed within 'NorthWestern Europe - MARPOL Annex I' for 3665 minutes</t>
  </si>
  <si>
    <t>62.01584</t>
  </si>
  <si>
    <t>5.154305</t>
  </si>
  <si>
    <t>Stayed within 'North Sea - MARPOL Annex V' for 3666 minutes</t>
  </si>
  <si>
    <t>At N 61° 07' 52.21" - E 004° 44' 32.02"</t>
  </si>
  <si>
    <t>61.13117</t>
  </si>
  <si>
    <t>4.74223</t>
  </si>
  <si>
    <t>New Course is [318°]</t>
  </si>
  <si>
    <t>60.39265</t>
  </si>
  <si>
    <t>5.153098</t>
  </si>
  <si>
    <t>60.31637</t>
  </si>
  <si>
    <t>5.198053</t>
  </si>
  <si>
    <t>60.26857</t>
  </si>
  <si>
    <t>5.168137</t>
  </si>
  <si>
    <t>New Course is [344°]</t>
  </si>
  <si>
    <t>60.22943</t>
  </si>
  <si>
    <t>5.166433</t>
  </si>
  <si>
    <t>New Course is [304°]</t>
  </si>
  <si>
    <t>60.1432</t>
  </si>
  <si>
    <t>5.292323</t>
  </si>
  <si>
    <t>New Course is [272°]</t>
  </si>
  <si>
    <t>60.12054</t>
  </si>
  <si>
    <t>5.433609</t>
  </si>
  <si>
    <t>60.15079</t>
  </si>
  <si>
    <t>5.684152</t>
  </si>
  <si>
    <t>At N 60° 10' 11.80" - E 005° 41' 43.85"</t>
  </si>
  <si>
    <t>60.16994</t>
  </si>
  <si>
    <t>5.695515</t>
  </si>
  <si>
    <t>At N 60° 10' 15.04" - E 005° 41' 43.86"</t>
  </si>
  <si>
    <t>60.17085</t>
  </si>
  <si>
    <t>5.695518</t>
  </si>
  <si>
    <t>BERGEN</t>
  </si>
  <si>
    <t>Berth: BER20  Terminal:   Port: BERGEN</t>
  </si>
  <si>
    <t>Stayed close to vessel VIVAX for 982 minutes</t>
  </si>
  <si>
    <t>60.40005</t>
  </si>
  <si>
    <t>5.311127</t>
  </si>
  <si>
    <t>Stayed close to vessel KRISTIAN G.JEBSEN 2 for 204 minutes</t>
  </si>
  <si>
    <t>60.40003</t>
  </si>
  <si>
    <t>5.31114</t>
  </si>
  <si>
    <t>At N 60° 24' 00.14" - E 005° 18' 40.16"</t>
  </si>
  <si>
    <t>60.40004</t>
  </si>
  <si>
    <t>5.311158</t>
  </si>
  <si>
    <t>Distance from vessel KRISTIAN G.JEBSEN 2 is 41m</t>
  </si>
  <si>
    <t>60.40002</t>
  </si>
  <si>
    <t>5.311143</t>
  </si>
  <si>
    <t>Stayed close to vessel KRISTIAN G.JEBSEN 2 for 724 minutes</t>
  </si>
  <si>
    <t>5.311155</t>
  </si>
  <si>
    <t>At N 60° 24' 00.14" - E 005° 18' 40.21"</t>
  </si>
  <si>
    <t>5.311172</t>
  </si>
  <si>
    <t>From [At Anchor] to [Moored]</t>
  </si>
  <si>
    <t>5.311115</t>
  </si>
  <si>
    <t>From [Underway using Engine] to [At Anchor]</t>
  </si>
  <si>
    <t>Distance from vessel VIVAX is 71m</t>
  </si>
  <si>
    <t>Distance from vessel KRISTIAN G.JEBSEN 2 is 42m</t>
  </si>
  <si>
    <t>From [2021-02-09 05:44:00] to [2021-03-21 12:34:00]</t>
  </si>
  <si>
    <t>61.58871</t>
  </si>
  <si>
    <t>4.97016</t>
  </si>
  <si>
    <t>5.000718</t>
  </si>
  <si>
    <t>At N 61° 35' 03.67" - E 005° 00' 02.59"</t>
  </si>
  <si>
    <t>5.00072</t>
  </si>
  <si>
    <t>61.58433</t>
  </si>
  <si>
    <t>Distance from vessel VESTFART is 31m</t>
  </si>
  <si>
    <t>1.6</t>
  </si>
  <si>
    <t>61.58509</t>
  </si>
  <si>
    <t>4.99824</t>
  </si>
  <si>
    <t>Stayed close to vessel LOMVI for 459 minutes</t>
  </si>
  <si>
    <t>61.60213</t>
  </si>
  <si>
    <t>5.027497</t>
  </si>
  <si>
    <t>Stayed close to vessel SEA SERVICE for 458 minutes</t>
  </si>
  <si>
    <t>Stayed close to vessel KVANHOVDEN for 459 minutes</t>
  </si>
  <si>
    <t>61.60212</t>
  </si>
  <si>
    <t>5.027418</t>
  </si>
  <si>
    <t>At N 61° 36' 07.63" - E 005° 01' 38.68"</t>
  </si>
  <si>
    <t>5.027413</t>
  </si>
  <si>
    <t>5.027408</t>
  </si>
  <si>
    <t>Distance from vessel SEA SERVICE is 88m</t>
  </si>
  <si>
    <t>Distance from vessel LOMVI is 99m</t>
  </si>
  <si>
    <t>61.60211</t>
  </si>
  <si>
    <t>5.02743</t>
  </si>
  <si>
    <t>Distance from vessel KVANHOVDEN is 91m</t>
  </si>
  <si>
    <t>61.92928</t>
  </si>
  <si>
    <t>5.12193</t>
  </si>
  <si>
    <t>North Sea ECA</t>
  </si>
  <si>
    <t>62.08093</t>
  </si>
  <si>
    <t>5.112657</t>
  </si>
  <si>
    <t>At N 62° 29' 13.00" - E 006° 07' 01.89"</t>
  </si>
  <si>
    <t>62.48695</t>
  </si>
  <si>
    <t>6.117193</t>
  </si>
  <si>
    <t>63.31131</t>
  </si>
  <si>
    <t>8.248868</t>
  </si>
  <si>
    <t>New Course is [194°]</t>
  </si>
  <si>
    <t>63.33968</t>
  </si>
  <si>
    <t>8.296432</t>
  </si>
  <si>
    <t>New Course is [155°]</t>
  </si>
  <si>
    <t>63.41081</t>
  </si>
  <si>
    <t>8.257261</t>
  </si>
  <si>
    <t>New Course is [189°]</t>
  </si>
  <si>
    <t>63.51725</t>
  </si>
  <si>
    <t>8.221495</t>
  </si>
  <si>
    <t>New Course is [219°]</t>
  </si>
  <si>
    <t>63.60516</t>
  </si>
  <si>
    <t>8.300328</t>
  </si>
  <si>
    <t>New Course is [255°]</t>
  </si>
  <si>
    <t>63.6468</t>
  </si>
  <si>
    <t>8.54593</t>
  </si>
  <si>
    <t>At N 63° 38' 02.61" - E 008° 34' 45.28"</t>
  </si>
  <si>
    <t>63.63406</t>
  </si>
  <si>
    <t>8.579247</t>
  </si>
  <si>
    <t>Stayed close to vessel REODOR for 59 minutes</t>
  </si>
  <si>
    <t>63.63149</t>
  </si>
  <si>
    <t>8.578838</t>
  </si>
  <si>
    <t>At N 63° 37' 53.52" - E 008° 34' 43.56"</t>
  </si>
  <si>
    <t>63.63153</t>
  </si>
  <si>
    <t>8.578767</t>
  </si>
  <si>
    <t>Distance from vessel REODOR is 21m</t>
  </si>
  <si>
    <t>8.578758</t>
  </si>
  <si>
    <t>At N 63° 49' 13.75" - E 009° 17' 45.56"</t>
  </si>
  <si>
    <t>63.82049</t>
  </si>
  <si>
    <t>9.29599</t>
  </si>
  <si>
    <t>64.06916</t>
  </si>
  <si>
    <t>9.858472</t>
  </si>
  <si>
    <t>At N 64° 05' 06.38" - E 009° 52' 46.30"</t>
  </si>
  <si>
    <t>64.08511</t>
  </si>
  <si>
    <t>9.879528</t>
  </si>
  <si>
    <t>At N 64° 05' 14.01" - E 009° 52' 40.60"</t>
  </si>
  <si>
    <t>64.08723</t>
  </si>
  <si>
    <t>9.877945</t>
  </si>
  <si>
    <t>At N 64° 05' 03.55" - E 009° 53' 35.32"</t>
  </si>
  <si>
    <t>64.08432</t>
  </si>
  <si>
    <t>9.893147</t>
  </si>
  <si>
    <t>At N 64° 05' 10.58" - E 009° 53' 21.67"</t>
  </si>
  <si>
    <t>64.08627</t>
  </si>
  <si>
    <t>9.889354</t>
  </si>
  <si>
    <t>At N 63° 36' 49.25" - E 009° 12' 49.85"</t>
  </si>
  <si>
    <t>63.61368</t>
  </si>
  <si>
    <t>9.213848</t>
  </si>
  <si>
    <t>At N 63° 36' 52.98" - E 009° 12' 53.64"</t>
  </si>
  <si>
    <t>63.61472</t>
  </si>
  <si>
    <t>9.2149</t>
  </si>
  <si>
    <t>New Course is [275°]</t>
  </si>
  <si>
    <t>63.60549</t>
  </si>
  <si>
    <t>9.388217</t>
  </si>
  <si>
    <t>63.58791</t>
  </si>
  <si>
    <t>9.449087</t>
  </si>
  <si>
    <t>At N 63° 34' 11.29" - E 009° 28' 31.92"</t>
  </si>
  <si>
    <t>9.475535</t>
  </si>
  <si>
    <t>At N 63° 34' 07.94" - E 009° 28' 29.97"</t>
  </si>
  <si>
    <t>63.56887</t>
  </si>
  <si>
    <t>9.474994</t>
  </si>
  <si>
    <t>New Course is [92°]</t>
  </si>
  <si>
    <t>63.58044</t>
  </si>
  <si>
    <t>9.459135</t>
  </si>
  <si>
    <t>At N 63° 33' 39.50" - E 009° 24' 24.63"</t>
  </si>
  <si>
    <t>63.56097</t>
  </si>
  <si>
    <t>9.406843</t>
  </si>
  <si>
    <t>At N 63° 33' 37.00" - E 009° 24' 22.34"</t>
  </si>
  <si>
    <t>63.56028</t>
  </si>
  <si>
    <t>9.406208</t>
  </si>
  <si>
    <t>At N 63° 25' 34.68" - E 008° 40' 57.23"</t>
  </si>
  <si>
    <t>63.4263</t>
  </si>
  <si>
    <t>8.682567</t>
  </si>
  <si>
    <t>New Course is [61°]</t>
  </si>
  <si>
    <t>63.27257</t>
  </si>
  <si>
    <t>8.126902</t>
  </si>
  <si>
    <t>At N 63° 15' 11.56" - E 007° 56' 08.07"</t>
  </si>
  <si>
    <t>63.25321</t>
  </si>
  <si>
    <t>7.935576</t>
  </si>
  <si>
    <t>At N 63° 15' 16.02" - E 007° 55' 47.72"</t>
  </si>
  <si>
    <t>63.25445</t>
  </si>
  <si>
    <t>7.929924</t>
  </si>
  <si>
    <t>At N 63° 15' 00.83" - E 007° 56' 24.35"</t>
  </si>
  <si>
    <t>63.25023</t>
  </si>
  <si>
    <t>7.940098</t>
  </si>
  <si>
    <t>At N 63° 15' 00.42" - E 007° 56' 11.60"</t>
  </si>
  <si>
    <t>63.25012</t>
  </si>
  <si>
    <t>7.936558</t>
  </si>
  <si>
    <t>63.10581</t>
  </si>
  <si>
    <t>7.530726</t>
  </si>
  <si>
    <t>At N 62° 22' 51.64" - E 005° 45' 35.82"</t>
  </si>
  <si>
    <t>62.38101</t>
  </si>
  <si>
    <t>5.75995</t>
  </si>
  <si>
    <t>62.13492</t>
  </si>
  <si>
    <t>5.083147</t>
  </si>
  <si>
    <t>Stayed within 'NorthWestern Europe - MARPOL Annex I' for 1103 minutes</t>
  </si>
  <si>
    <t>62.01713</t>
  </si>
  <si>
    <t>5.15246</t>
  </si>
  <si>
    <t>Stayed within 'North Sea - MARPOL Annex V' for 1104 minutes</t>
  </si>
  <si>
    <t>61.5853</t>
  </si>
  <si>
    <t>4.993112</t>
  </si>
  <si>
    <t>At N 61° 35' 03.49" - E 005° 00' 02.83"</t>
  </si>
  <si>
    <t>61.5843</t>
  </si>
  <si>
    <t>5.000787</t>
  </si>
  <si>
    <t>5.00078</t>
  </si>
  <si>
    <t>61.97976</t>
  </si>
  <si>
    <t>5.152843</t>
  </si>
  <si>
    <t>At N 62° 17' 49.72" - E 005° 32' 36.57"</t>
  </si>
  <si>
    <t>62.29715</t>
  </si>
  <si>
    <t>5.543492</t>
  </si>
  <si>
    <t>Stayed close to vessel SKAGOYSUND for 449 minutes</t>
  </si>
  <si>
    <t>62.47085</t>
  </si>
  <si>
    <t>6.158352</t>
  </si>
  <si>
    <t>Stayed close to vessel BJARNE NILSEN for 795 minutes</t>
  </si>
  <si>
    <t>6.158333</t>
  </si>
  <si>
    <t>Distance from vessel SKAGOYSUND is 15m</t>
  </si>
  <si>
    <t>62.47087</t>
  </si>
  <si>
    <t>6.158345</t>
  </si>
  <si>
    <t>At N 62° 28' 15.14" - E 006° 09' 30.10"</t>
  </si>
  <si>
    <t>6.158361</t>
  </si>
  <si>
    <t>62.47088</t>
  </si>
  <si>
    <t>6.158363</t>
  </si>
  <si>
    <t>Distance from vessel BJARNE NILSEN is 27m</t>
  </si>
  <si>
    <t>6.158313</t>
  </si>
  <si>
    <t>At N 63° 08' 50.22" - E 007° 46' 28.03"</t>
  </si>
  <si>
    <t>63.14729</t>
  </si>
  <si>
    <t>7.774453</t>
  </si>
  <si>
    <t>New Course is [271°]</t>
  </si>
  <si>
    <t>63.15296</t>
  </si>
  <si>
    <t>8.399792</t>
  </si>
  <si>
    <t>At N 63° 08' 52.02" - E 008° 27' 49.63"</t>
  </si>
  <si>
    <t>63.14779</t>
  </si>
  <si>
    <t>8.463787</t>
  </si>
  <si>
    <t>Tug Operation ended</t>
  </si>
  <si>
    <t>Stayed close to vessel FROY VALKYRIEN for 67 minutes</t>
  </si>
  <si>
    <t>63.14403</t>
  </si>
  <si>
    <t>8.463097</t>
  </si>
  <si>
    <t>At N 63° 08' 37.57" - E 008° 27' 43.90"</t>
  </si>
  <si>
    <t>63.14377</t>
  </si>
  <si>
    <t>8.462195</t>
  </si>
  <si>
    <t>Tug Operation started</t>
  </si>
  <si>
    <t>Distance from vessel FROY VALKYRIEN is 32m</t>
  </si>
  <si>
    <t>63.14372</t>
  </si>
  <si>
    <t>8.462463</t>
  </si>
  <si>
    <t>63.14859</t>
  </si>
  <si>
    <t>8.463253</t>
  </si>
  <si>
    <t>New Course is [85°]</t>
  </si>
  <si>
    <t>63.14525</t>
  </si>
  <si>
    <t>8.153131</t>
  </si>
  <si>
    <t>At N 63° 09' 02.83" - E 008° 07' 12.94"</t>
  </si>
  <si>
    <t>63.15079</t>
  </si>
  <si>
    <t>8.120261</t>
  </si>
  <si>
    <t>At N 63° 09' 06.85" - E 008° 07' 29.46"</t>
  </si>
  <si>
    <t>63.15191</t>
  </si>
  <si>
    <t>8.12485</t>
  </si>
  <si>
    <t>63.09603</t>
  </si>
  <si>
    <t>7.938535</t>
  </si>
  <si>
    <t>At N 63° 04' 33.54" - E 007° 53' 52.41"</t>
  </si>
  <si>
    <t>63.07598</t>
  </si>
  <si>
    <t>7.897893</t>
  </si>
  <si>
    <t>At N 63° 04' 30.62" - E 007° 53' 56.09"</t>
  </si>
  <si>
    <t>63.07517</t>
  </si>
  <si>
    <t>7.898915</t>
  </si>
  <si>
    <t>New Course is [21°]</t>
  </si>
  <si>
    <t>63.0614</t>
  </si>
  <si>
    <t>7.897233</t>
  </si>
  <si>
    <t>At N 63° 02' 30.88" - E 007° 50' 59.58"</t>
  </si>
  <si>
    <t>63.04191</t>
  </si>
  <si>
    <t>7.849885</t>
  </si>
  <si>
    <t>At N 63° 02' 28.85" - E 007° 50' 54.43"</t>
  </si>
  <si>
    <t>63.04135</t>
  </si>
  <si>
    <t>7.848454</t>
  </si>
  <si>
    <t>New Course is [55°]</t>
  </si>
  <si>
    <t>63.01896</t>
  </si>
  <si>
    <t>7.814505</t>
  </si>
  <si>
    <t>At N 63° 01' 53.80" - E 007° 43' 03.81"</t>
  </si>
  <si>
    <t>6.4</t>
  </si>
  <si>
    <t>63.03161</t>
  </si>
  <si>
    <t>7.717727</t>
  </si>
  <si>
    <t>At N 63° 01' 53.47" - E 007° 42' 47.75"</t>
  </si>
  <si>
    <t>63.03152</t>
  </si>
  <si>
    <t>7.713265</t>
  </si>
  <si>
    <t>63.10611</t>
  </si>
  <si>
    <t>7.54381</t>
  </si>
  <si>
    <t>At N 63° 06' 13.97" - E 007° 32' 11.20"</t>
  </si>
  <si>
    <t>63.10388</t>
  </si>
  <si>
    <t>7.536447</t>
  </si>
  <si>
    <t>New Course is [63°]</t>
  </si>
  <si>
    <t>62.9795</t>
  </si>
  <si>
    <t>6.909125</t>
  </si>
  <si>
    <t>62.95613</t>
  </si>
  <si>
    <t>6.865198</t>
  </si>
  <si>
    <t>New Course is [346°]</t>
  </si>
  <si>
    <t>62.90988</t>
  </si>
  <si>
    <t>6.855178</t>
  </si>
  <si>
    <t>62.86029</t>
  </si>
  <si>
    <t>6.96039</t>
  </si>
  <si>
    <t>62.73682</t>
  </si>
  <si>
    <t>6.960255</t>
  </si>
  <si>
    <t>62.66729</t>
  </si>
  <si>
    <t>7.077357</t>
  </si>
  <si>
    <t>At N 62° 38' 38.15" - E 007° 06' 16.43"</t>
  </si>
  <si>
    <t>62.64393</t>
  </si>
  <si>
    <t>7.104565</t>
  </si>
  <si>
    <t>At N 62° 38' 40.71" - E 007° 06' 05.24"</t>
  </si>
  <si>
    <t>7.101457</t>
  </si>
  <si>
    <t>Stayed within 'North Sea ECA' for 3271 minutes</t>
  </si>
  <si>
    <t>62.13612</t>
  </si>
  <si>
    <t>5.080335</t>
  </si>
  <si>
    <t>Stayed within 'NorthWestern Europe - MARPOL Annex I' for 3137 minutes</t>
  </si>
  <si>
    <t>62.01769</t>
  </si>
  <si>
    <t>5.153042</t>
  </si>
  <si>
    <t>Stayed within 'North Sea - MARPOL Annex V' for 3137 minutes</t>
  </si>
  <si>
    <t>At N 61° 52' 10.73" - E 005° 14' 08.44"</t>
  </si>
  <si>
    <t>61.86965</t>
  </si>
  <si>
    <t>5.235678</t>
  </si>
  <si>
    <t>Berth: FLO8  Terminal:   Port: FLORO</t>
  </si>
  <si>
    <t>Stayed close to vessel NORMAND FALNES for 162 minutes</t>
  </si>
  <si>
    <t>61.60208</t>
  </si>
  <si>
    <t>5.02627</t>
  </si>
  <si>
    <t>Stayed close to vessel OCEAN ELECTRONICS WE for 158 minutes</t>
  </si>
  <si>
    <t>5.026258</t>
  </si>
  <si>
    <t>Distance from vessel OCEAN ELECTRONICS WE is 95m</t>
  </si>
  <si>
    <t>Distance from vessel NORMAND FALNES is 4m</t>
  </si>
  <si>
    <t>61.6021</t>
  </si>
  <si>
    <t>5.026282</t>
  </si>
  <si>
    <t>Stayed close to vessel TARESUND for 61 minutes</t>
  </si>
  <si>
    <t>4.5</t>
  </si>
  <si>
    <t>61.58523</t>
  </si>
  <si>
    <t>4.99396</t>
  </si>
  <si>
    <t>Berth: FLO7  Terminal:   Port: FLORO</t>
  </si>
  <si>
    <t>Distance from vessel TARESUND is 75m</t>
  </si>
  <si>
    <t>At N 61° 35' 03.62" - E 005° 00' 02.64"</t>
  </si>
  <si>
    <t>5.000735</t>
  </si>
  <si>
    <t>At N 61° 35' 02.87" - E 005° 00' 08.26"</t>
  </si>
  <si>
    <t>61.58413</t>
  </si>
  <si>
    <t>5.002296</t>
  </si>
  <si>
    <t>Bunkering/Slops/Lube End</t>
  </si>
  <si>
    <t>Stayed close to vessel PIONEER KNUTSEN for 162 minutes</t>
  </si>
  <si>
    <t>61.58414</t>
  </si>
  <si>
    <t>5.002342</t>
  </si>
  <si>
    <t>Bunkering/Slops/Lube Start</t>
  </si>
  <si>
    <t>Distance from vessel PIONEER KNUTSEN is 8m</t>
  </si>
  <si>
    <t>5.002288</t>
  </si>
  <si>
    <t>61.58411</t>
  </si>
  <si>
    <t>5.002325</t>
  </si>
  <si>
    <t>At N 61° 41' 53.13" - E 004° 57' 21.46"</t>
  </si>
  <si>
    <t>61.69809</t>
  </si>
  <si>
    <t>4.955962</t>
  </si>
  <si>
    <t>61.93923</t>
  </si>
  <si>
    <t>5.128197</t>
  </si>
  <si>
    <t>Stayed close to vessel STADT KINN for 21 minutes</t>
  </si>
  <si>
    <t>61.93561</t>
  </si>
  <si>
    <t>5.116107</t>
  </si>
  <si>
    <t>Distance from vessel STADT KINN is 10m</t>
  </si>
  <si>
    <t>61.93563</t>
  </si>
  <si>
    <t>5.116132</t>
  </si>
  <si>
    <t>Stayed close to vessel SAS LEO for 641 minutes</t>
  </si>
  <si>
    <t>61.93558</t>
  </si>
  <si>
    <t>5.116108</t>
  </si>
  <si>
    <t>At N 61° 56' 08.18" - E 005° 06' 57.95"</t>
  </si>
  <si>
    <t>5.1161</t>
  </si>
  <si>
    <t>61.93559</t>
  </si>
  <si>
    <t>61.93562</t>
  </si>
  <si>
    <t>5.116103</t>
  </si>
  <si>
    <t>Distance from vessel SAS LEO is 5m</t>
  </si>
  <si>
    <t>61.9356</t>
  </si>
  <si>
    <t>5.116088</t>
  </si>
  <si>
    <t>62.09149</t>
  </si>
  <si>
    <t>5.035429</t>
  </si>
  <si>
    <t>At N 62° 59' 05.71" - E 006° 53' 49.78"</t>
  </si>
  <si>
    <t>62.98492</t>
  </si>
  <si>
    <t>6.897161</t>
  </si>
  <si>
    <t>At N 64° 23' 09.30" - E 010° 09' 12.81"</t>
  </si>
  <si>
    <t>64.38592</t>
  </si>
  <si>
    <t>10.15356</t>
  </si>
  <si>
    <t>65.80103</t>
  </si>
  <si>
    <t>12.34562</t>
  </si>
  <si>
    <t>New Course is [165°]</t>
  </si>
  <si>
    <t>65.87059</t>
  </si>
  <si>
    <t>12.37413</t>
  </si>
  <si>
    <t>New Course is [196°]</t>
  </si>
  <si>
    <t>65.9224</t>
  </si>
  <si>
    <t>12.38074</t>
  </si>
  <si>
    <t>New Course is [100°]</t>
  </si>
  <si>
    <t>65.94499</t>
  </si>
  <si>
    <t>12.34513</t>
  </si>
  <si>
    <t>65.91504</t>
  </si>
  <si>
    <t>12.20551</t>
  </si>
  <si>
    <t>New Course is [173°]</t>
  </si>
  <si>
    <t>65.93362</t>
  </si>
  <si>
    <t>12.18219</t>
  </si>
  <si>
    <t>New Course is [91°]</t>
  </si>
  <si>
    <t>65.94662</t>
  </si>
  <si>
    <t>12.13017</t>
  </si>
  <si>
    <t>New Course is [58°]</t>
  </si>
  <si>
    <t>65.91647</t>
  </si>
  <si>
    <t>11.93161</t>
  </si>
  <si>
    <t>New Course is [2°]</t>
  </si>
  <si>
    <t>65.89065</t>
  </si>
  <si>
    <t>11.90853</t>
  </si>
  <si>
    <t>At N 65° 52' 39.14" - E 011° 56' 10.28"</t>
  </si>
  <si>
    <t>65.87754</t>
  </si>
  <si>
    <t>11.93619</t>
  </si>
  <si>
    <t>At N 65° 52' 56.61" - E 011° 56' 13.89"</t>
  </si>
  <si>
    <t>65.88239</t>
  </si>
  <si>
    <t>11.93719</t>
  </si>
  <si>
    <t>Stayed close to vessel HARRY for 56 minutes</t>
  </si>
  <si>
    <t>65.88338</t>
  </si>
  <si>
    <t>11.93263</t>
  </si>
  <si>
    <t>Distance from vessel HARRY is 21m</t>
  </si>
  <si>
    <t>11.93252</t>
  </si>
  <si>
    <t>At N 65° 53' 00.37" - E 011° 55' 57.05"</t>
  </si>
  <si>
    <t>65.88344</t>
  </si>
  <si>
    <t>65.88225</t>
  </si>
  <si>
    <t>11.91803</t>
  </si>
  <si>
    <t>New Course is [190°]</t>
  </si>
  <si>
    <t>65.90826</t>
  </si>
  <si>
    <t>11.91107</t>
  </si>
  <si>
    <t>New Course is [239°]</t>
  </si>
  <si>
    <t>65.93176</t>
  </si>
  <si>
    <t>12.02406</t>
  </si>
  <si>
    <t>At N 66° 05' 48.18" - E 012° 09' 07.63"</t>
  </si>
  <si>
    <t>66.09672</t>
  </si>
  <si>
    <t>12.15212</t>
  </si>
  <si>
    <t>At N 66° 05' 52.11" - E 012° 09' 11.29"</t>
  </si>
  <si>
    <t>66.09781</t>
  </si>
  <si>
    <t>12.15314</t>
  </si>
  <si>
    <t>66.244</t>
  </si>
  <si>
    <t>12.56343</t>
  </si>
  <si>
    <t>66.24535</t>
  </si>
  <si>
    <t>12.61539</t>
  </si>
  <si>
    <t>New Course is [327°]</t>
  </si>
  <si>
    <t>66.2178</t>
  </si>
  <si>
    <t>12.66304</t>
  </si>
  <si>
    <t>66.19994</t>
  </si>
  <si>
    <t>12.77088</t>
  </si>
  <si>
    <t>New Course is [334°]</t>
  </si>
  <si>
    <t>66.1749</t>
  </si>
  <si>
    <t>12.81767</t>
  </si>
  <si>
    <t>New Course is [303°]</t>
  </si>
  <si>
    <t>66.15664</t>
  </si>
  <si>
    <t>12.84726</t>
  </si>
  <si>
    <t>At N 66° 10' 08.53" - E 013° 04' 50.96"</t>
  </si>
  <si>
    <t>66.16904</t>
  </si>
  <si>
    <t>13.08082</t>
  </si>
  <si>
    <t>At N 66° 08' 57.06" - E 012° 53' 10.77"</t>
  </si>
  <si>
    <t>66.14919</t>
  </si>
  <si>
    <t>12.88633</t>
  </si>
  <si>
    <t>At N 66° 09' 12.42" - E 012° 57' 51.15"</t>
  </si>
  <si>
    <t>66.15345</t>
  </si>
  <si>
    <t>12.96421</t>
  </si>
  <si>
    <t>At N 66° 08' 13.53" - E 012° 51' 54.47"</t>
  </si>
  <si>
    <t>66.13709</t>
  </si>
  <si>
    <t>12.86513</t>
  </si>
  <si>
    <t>At N 66° 08' 02.16" - E 012° 51' 37.30"</t>
  </si>
  <si>
    <t>66.13393</t>
  </si>
  <si>
    <t>12.86036</t>
  </si>
  <si>
    <t>New Course is [170°]</t>
  </si>
  <si>
    <t>66.16042</t>
  </si>
  <si>
    <t>12.835</t>
  </si>
  <si>
    <t>New Course is [201°]</t>
  </si>
  <si>
    <t>66.22056</t>
  </si>
  <si>
    <t>12.87805</t>
  </si>
  <si>
    <t>At N 66° 15' 05.57" - E 012° 53' 41.77"</t>
  </si>
  <si>
    <t>66.25155</t>
  </si>
  <si>
    <t>12.89494</t>
  </si>
  <si>
    <t>At N 66° 15' 11.04" - E 012° 53' 24.36"</t>
  </si>
  <si>
    <t>66.25307</t>
  </si>
  <si>
    <t>12.8901</t>
  </si>
  <si>
    <t>New Course is [191°]</t>
  </si>
  <si>
    <t>66.44389</t>
  </si>
  <si>
    <t>12.99063</t>
  </si>
  <si>
    <t>New Course is [161°]</t>
  </si>
  <si>
    <t>66.5267</t>
  </si>
  <si>
    <t>12.95415</t>
  </si>
  <si>
    <t>66.54679</t>
  </si>
  <si>
    <t>13.00069</t>
  </si>
  <si>
    <t>66.56321</t>
  </si>
  <si>
    <t>13.08138</t>
  </si>
  <si>
    <t>At N 66° 35' 16.10" - E 013° 06' 03.55"</t>
  </si>
  <si>
    <t>66.58781</t>
  </si>
  <si>
    <t>13.10099</t>
  </si>
  <si>
    <t>Stayed close to vessel NOVATRANS for 13 minutes</t>
  </si>
  <si>
    <t>66.58863</t>
  </si>
  <si>
    <t>13.09943</t>
  </si>
  <si>
    <t>Distance from vessel NOVATRANS is 95m</t>
  </si>
  <si>
    <t>At N 66° 35' 22.58" - E 013° 05' 51.82"</t>
  </si>
  <si>
    <t>66.58961</t>
  </si>
  <si>
    <t>13.09773</t>
  </si>
  <si>
    <t>66.64339</t>
  </si>
  <si>
    <t>13.07299</t>
  </si>
  <si>
    <t>At N 66° 38' 36.00" - E 013° 00' 20.31"</t>
  </si>
  <si>
    <t>66.64333</t>
  </si>
  <si>
    <t>13.00564</t>
  </si>
  <si>
    <t>At N 66° 38' 28.44" - E 013° 00' 05.93"</t>
  </si>
  <si>
    <t>66.64124</t>
  </si>
  <si>
    <t>13.00165</t>
  </si>
  <si>
    <t>New Course is [264°]</t>
  </si>
  <si>
    <t>66.64777</t>
  </si>
  <si>
    <t>13.10071</t>
  </si>
  <si>
    <t>New Course is [213°]</t>
  </si>
  <si>
    <t>66.7616</t>
  </si>
  <si>
    <t>13.22547</t>
  </si>
  <si>
    <t>New Course is [243°]</t>
  </si>
  <si>
    <t>66.82388</t>
  </si>
  <si>
    <t>13.54118</t>
  </si>
  <si>
    <t>New Course is [200°]</t>
  </si>
  <si>
    <t>66.84458</t>
  </si>
  <si>
    <t>13.58749</t>
  </si>
  <si>
    <t>At N 66° 52' 12.28" - E 013° 36' 12.93"</t>
  </si>
  <si>
    <t>5.3</t>
  </si>
  <si>
    <t>66.87008</t>
  </si>
  <si>
    <t>13.60359</t>
  </si>
  <si>
    <t>At N 66° 52' 14.48" - E 013° 35' 58.74"</t>
  </si>
  <si>
    <t>66.87069</t>
  </si>
  <si>
    <t>13.59965</t>
  </si>
  <si>
    <t>New Course is [266°]</t>
  </si>
  <si>
    <t>66.87105</t>
  </si>
  <si>
    <t>13.61344</t>
  </si>
  <si>
    <t>New Course is [339°]</t>
  </si>
  <si>
    <t>66.8712</t>
  </si>
  <si>
    <t>13.69311</t>
  </si>
  <si>
    <t>At N 66° 48' 53.07" - E 013° 41' 12.76"</t>
  </si>
  <si>
    <t>66.81474</t>
  </si>
  <si>
    <t>13.68688</t>
  </si>
  <si>
    <t>Stayed close to vessel NOVA VIKING for 35 minutes</t>
  </si>
  <si>
    <t>66.81384</t>
  </si>
  <si>
    <t>13.68454</t>
  </si>
  <si>
    <t>At N 66° 48' 49.77" - E 013° 41' 04.27"</t>
  </si>
  <si>
    <t>66.81383</t>
  </si>
  <si>
    <t>13.68452</t>
  </si>
  <si>
    <t>Distance from vessel NOVA VIKING is 57m</t>
  </si>
  <si>
    <t>66.81381</t>
  </si>
  <si>
    <t>At N 66° 48' 50.02" - E 013° 41' 06.10"</t>
  </si>
  <si>
    <t>66.8139</t>
  </si>
  <si>
    <t>13.68503</t>
  </si>
  <si>
    <t>66.8185</t>
  </si>
  <si>
    <t>13.67146</t>
  </si>
  <si>
    <t>New Course is [72°]</t>
  </si>
  <si>
    <t>66.7832</t>
  </si>
  <si>
    <t>13.23827</t>
  </si>
  <si>
    <t>At N 66° 46' 10.12" - E 013° 09' 46.56"</t>
  </si>
  <si>
    <t>66.76948</t>
  </si>
  <si>
    <t>13.16293</t>
  </si>
  <si>
    <t>Stayed close to vessel TENNHOLMEN for 63 minutes</t>
  </si>
  <si>
    <t>66.76711</t>
  </si>
  <si>
    <t>13.1683</t>
  </si>
  <si>
    <t>Distance from vessel TENNHOLMEN is 31m</t>
  </si>
  <si>
    <t>66.76717</t>
  </si>
  <si>
    <t>13.16862</t>
  </si>
  <si>
    <t>At N 66° 46' 01.52" - E 013° 10' 05.85"</t>
  </si>
  <si>
    <t>66.76709</t>
  </si>
  <si>
    <t>13.16829</t>
  </si>
  <si>
    <t>66.77607</t>
  </si>
  <si>
    <t>13.20027</t>
  </si>
  <si>
    <t>New Course is [340°]</t>
  </si>
  <si>
    <t>66.74859</t>
  </si>
  <si>
    <t>13.23247</t>
  </si>
  <si>
    <t>At N 66° 42' 54.37" - E 013° 33' 19.40"</t>
  </si>
  <si>
    <t>66.7151</t>
  </si>
  <si>
    <t>13.55539</t>
  </si>
  <si>
    <t>At N 66° 42' 55.88" - E 013° 33' 45.25"</t>
  </si>
  <si>
    <t>66.71552</t>
  </si>
  <si>
    <t>13.56257</t>
  </si>
  <si>
    <t>HALSA MELOY</t>
  </si>
  <si>
    <t>66.74709</t>
  </si>
  <si>
    <t>13.49577</t>
  </si>
  <si>
    <t>At N 66° 44' 41.84" - E 013° 29' 58.63"</t>
  </si>
  <si>
    <t>66.74496</t>
  </si>
  <si>
    <t>13.49962</t>
  </si>
  <si>
    <t>66.74561</t>
  </si>
  <si>
    <t>13.49707</t>
  </si>
  <si>
    <t>At N 66° 44' 44.23" - E 013° 29' 49.54"</t>
  </si>
  <si>
    <t>66.74562</t>
  </si>
  <si>
    <t>13.4971</t>
  </si>
  <si>
    <t>New Course is [221°]</t>
  </si>
  <si>
    <t>67.06821</t>
  </si>
  <si>
    <t>13.90002</t>
  </si>
  <si>
    <t>New Course is [263°]</t>
  </si>
  <si>
    <t>67.07976</t>
  </si>
  <si>
    <t>13.96998</t>
  </si>
  <si>
    <t>New Course is [300°]</t>
  </si>
  <si>
    <t>67.08478</t>
  </si>
  <si>
    <t>14.05596</t>
  </si>
  <si>
    <t>67.05538</t>
  </si>
  <si>
    <t>14.11959</t>
  </si>
  <si>
    <t>At N 67° 01' 32.20" - E 014° 07' 58.84"</t>
  </si>
  <si>
    <t>67.02561</t>
  </si>
  <si>
    <t>14.13301</t>
  </si>
  <si>
    <t>At N 67° 01' 30.77" - E 014° 07' 31.70"</t>
  </si>
  <si>
    <t>67.02522</t>
  </si>
  <si>
    <t>14.12547</t>
  </si>
  <si>
    <t>At N 68° 09' 28.13" - E 015° 24' 40.77"</t>
  </si>
  <si>
    <t>68.15781</t>
  </si>
  <si>
    <t>15.41133</t>
  </si>
  <si>
    <t>At N 68° 44' 05.70" - E 017° 18' 14.41"</t>
  </si>
  <si>
    <t>68.73492</t>
  </si>
  <si>
    <t>17.304</t>
  </si>
  <si>
    <t>At N 68° 43' 47.43" - E 017° 18' 20.39"</t>
  </si>
  <si>
    <t>68.72984</t>
  </si>
  <si>
    <t>17.30567</t>
  </si>
  <si>
    <t>New Course is [104°]</t>
  </si>
  <si>
    <t>68.74148</t>
  </si>
  <si>
    <t>17.27746</t>
  </si>
  <si>
    <t>At N 68° 43' 21.39" - E 017° 01' 41.50"</t>
  </si>
  <si>
    <t>68.72261</t>
  </si>
  <si>
    <t>17.0282</t>
  </si>
  <si>
    <t>At N 68° 42' 53.98" - E 017° 01' 15.28"</t>
  </si>
  <si>
    <t>68.715</t>
  </si>
  <si>
    <t>17.02091</t>
  </si>
  <si>
    <t>68.72231</t>
  </si>
  <si>
    <t>17.0337</t>
  </si>
  <si>
    <t>68.75025</t>
  </si>
  <si>
    <t>17.17049</t>
  </si>
  <si>
    <t>At N 68° 53' 11.06" - E 017° 07' 03.61"</t>
  </si>
  <si>
    <t>68.88641</t>
  </si>
  <si>
    <t>17.11767</t>
  </si>
  <si>
    <t>At N 68° 53' 17.32" - E 017° 06' 56.88"</t>
  </si>
  <si>
    <t>68.88815</t>
  </si>
  <si>
    <t>17.1158</t>
  </si>
  <si>
    <t>68.92425</t>
  </si>
  <si>
    <t>16.78655</t>
  </si>
  <si>
    <t>At N 68° 56' 03.35" - E 016° 43' 03.89"</t>
  </si>
  <si>
    <t>16.71775</t>
  </si>
  <si>
    <t>At N 68° 56' 08.43" - E 016° 43' 09.53"</t>
  </si>
  <si>
    <t>1.4</t>
  </si>
  <si>
    <t>68.93568</t>
  </si>
  <si>
    <t>16.71932</t>
  </si>
  <si>
    <t>At N 68° 56' 11.29" - E 016° 43' 14.97"</t>
  </si>
  <si>
    <t>68.93647</t>
  </si>
  <si>
    <t>16.72083</t>
  </si>
  <si>
    <t>68.91804</t>
  </si>
  <si>
    <t>16.69784</t>
  </si>
  <si>
    <t>New Course is [357°]</t>
  </si>
  <si>
    <t>68.88506</t>
  </si>
  <si>
    <t>16.65882</t>
  </si>
  <si>
    <t>At N 68° 51' 54.76" - E 016° 40' 25.33"</t>
  </si>
  <si>
    <t>68.86521</t>
  </si>
  <si>
    <t>16.6737</t>
  </si>
  <si>
    <t>Stayed close to vessel FALK for 69 minutes</t>
  </si>
  <si>
    <t>68.86611</t>
  </si>
  <si>
    <t>16.67393</t>
  </si>
  <si>
    <t>At N 68° 51' 58.16" - E 016° 40' 26.48"</t>
  </si>
  <si>
    <t>68.86616</t>
  </si>
  <si>
    <t>16.67402</t>
  </si>
  <si>
    <t>Distance from vessel FALK is 29m</t>
  </si>
  <si>
    <t>68.86612</t>
  </si>
  <si>
    <t>New Course is [143°]</t>
  </si>
  <si>
    <t>68.86957</t>
  </si>
  <si>
    <t>16.67297</t>
  </si>
  <si>
    <t>New Course is [103°]</t>
  </si>
  <si>
    <t>68.87462</t>
  </si>
  <si>
    <t>16.47988</t>
  </si>
  <si>
    <t>New Course is [134°]</t>
  </si>
  <si>
    <t>68.889</t>
  </si>
  <si>
    <t>16.40076</t>
  </si>
  <si>
    <t>At N 68° 54' 54.79" - E 016° 21' 10.27"</t>
  </si>
  <si>
    <t>68.91522</t>
  </si>
  <si>
    <t>16.35285</t>
  </si>
  <si>
    <t>At N 68° 55' 25.72" - E 016° 20' 55.69"</t>
  </si>
  <si>
    <t>68.92381</t>
  </si>
  <si>
    <t>16.3488</t>
  </si>
  <si>
    <t>69.00445</t>
  </si>
  <si>
    <t>14.98248</t>
  </si>
  <si>
    <t>68.93515</t>
  </si>
  <si>
    <t>14.99031</t>
  </si>
  <si>
    <t>New Course is [13°]</t>
  </si>
  <si>
    <t>68.89724</t>
  </si>
  <si>
    <t>15.01741</t>
  </si>
  <si>
    <t>New Course is [57°]</t>
  </si>
  <si>
    <t>68.86832</t>
  </si>
  <si>
    <t>14.9696</t>
  </si>
  <si>
    <t>New Course is [94°]</t>
  </si>
  <si>
    <t>68.864</t>
  </si>
  <si>
    <t>14.7795</t>
  </si>
  <si>
    <t>At N 68° 51' 01.91" - E 014° 42' 37.87"</t>
  </si>
  <si>
    <t>68.85053</t>
  </si>
  <si>
    <t>14.71052</t>
  </si>
  <si>
    <t>68.83744</t>
  </si>
  <si>
    <t>14.62257</t>
  </si>
  <si>
    <t>New Course is [348°]</t>
  </si>
  <si>
    <t>68.8104</t>
  </si>
  <si>
    <t>14.59878</t>
  </si>
  <si>
    <t>At N 68° 46' 47.52" - E 014° 36' 01.34"</t>
  </si>
  <si>
    <t>68.77987</t>
  </si>
  <si>
    <t>14.60037</t>
  </si>
  <si>
    <t>At N 68° 46' 43.43" - E 014° 35' 45.37"</t>
  </si>
  <si>
    <t>68.77873</t>
  </si>
  <si>
    <t>14.59594</t>
  </si>
  <si>
    <t>At N 67° 13' 27.79" - E 014° 43' 03.85"</t>
  </si>
  <si>
    <t>67.22439</t>
  </si>
  <si>
    <t>14.71774</t>
  </si>
  <si>
    <t>Average speed [knots]</t>
  </si>
  <si>
    <t>Bergneset</t>
  </si>
  <si>
    <t>Finnvika</t>
  </si>
  <si>
    <t>Distance [km]</t>
  </si>
  <si>
    <t>Time of voyage [hours]</t>
  </si>
  <si>
    <t>Klokkardalen</t>
  </si>
  <si>
    <t>Angstauren</t>
  </si>
  <si>
    <t>Durmålsvika</t>
  </si>
  <si>
    <t>Skarvberget</t>
  </si>
  <si>
    <t>Oterneset</t>
  </si>
  <si>
    <t>Kjøtta V</t>
  </si>
  <si>
    <t>Åderkleiva</t>
  </si>
  <si>
    <t>Ystervika</t>
  </si>
  <si>
    <t>Kjeiprød</t>
  </si>
  <si>
    <t>Skogshavn</t>
  </si>
  <si>
    <t>Idle [hours]</t>
  </si>
  <si>
    <t>Mohavn</t>
  </si>
  <si>
    <t>Time [hours]</t>
  </si>
  <si>
    <t>Ide [hours]</t>
  </si>
  <si>
    <t>Docked [hours]</t>
  </si>
  <si>
    <t>Between ports</t>
  </si>
  <si>
    <t>Data not avaliable</t>
  </si>
  <si>
    <t>Kvitfolget</t>
  </si>
  <si>
    <t>Tromsø</t>
  </si>
  <si>
    <t>Fætten</t>
  </si>
  <si>
    <t>Vollum</t>
  </si>
  <si>
    <t>Skåren</t>
  </si>
  <si>
    <t>Vikageilen</t>
  </si>
  <si>
    <t>Or</t>
  </si>
  <si>
    <t>Endresetbukta</t>
  </si>
  <si>
    <t>Kattholmen</t>
  </si>
  <si>
    <t>Sandholmane</t>
  </si>
  <si>
    <t>Furneset</t>
  </si>
  <si>
    <t>Rota rundt i Florø</t>
  </si>
  <si>
    <t>&lt;- må se på</t>
  </si>
  <si>
    <t>Florø</t>
  </si>
  <si>
    <t>Måløy</t>
  </si>
  <si>
    <t>Omsøyholman</t>
  </si>
  <si>
    <t>Langskjæra</t>
  </si>
  <si>
    <t>Hosenøyan</t>
  </si>
  <si>
    <t>Unknown</t>
  </si>
  <si>
    <t>Tristeinen</t>
  </si>
  <si>
    <t>Ulværholmen</t>
  </si>
  <si>
    <t>Reitholmen</t>
  </si>
  <si>
    <t>Gunnarøya</t>
  </si>
  <si>
    <t>Hausan</t>
  </si>
  <si>
    <t>One roundtrip - Tromsø</t>
  </si>
  <si>
    <t>One roundtrip - Florø</t>
  </si>
  <si>
    <t>Ålesund</t>
  </si>
  <si>
    <t>Bergen</t>
  </si>
  <si>
    <t>Håvikvågen S</t>
  </si>
  <si>
    <t>N/A</t>
  </si>
  <si>
    <t>Sausing oppe i Florø</t>
  </si>
  <si>
    <t>Ringholmen</t>
  </si>
  <si>
    <t>Fjordprakken</t>
  </si>
  <si>
    <t>Florø - Ålesund</t>
  </si>
  <si>
    <t>Sausing i Ålesund</t>
  </si>
  <si>
    <t>Ålesund - Florø</t>
  </si>
  <si>
    <t>Segelråa</t>
  </si>
  <si>
    <t>Sørværet</t>
  </si>
  <si>
    <t>Kvitskjæret</t>
  </si>
  <si>
    <t>Klipen</t>
  </si>
  <si>
    <t>Nordbotnet</t>
  </si>
  <si>
    <t>Renga S</t>
  </si>
  <si>
    <t>Bukkøya Ø</t>
  </si>
  <si>
    <t>Teksmona</t>
  </si>
  <si>
    <t>Isbergan</t>
  </si>
  <si>
    <t>Svinvær</t>
  </si>
  <si>
    <t>Halsna</t>
  </si>
  <si>
    <t>Halsna Meløy - Måløy</t>
  </si>
  <si>
    <t>Halsna Meløy</t>
  </si>
  <si>
    <t>Total month [km]</t>
  </si>
  <si>
    <t>Måløy - Florø</t>
  </si>
  <si>
    <t>Florø - Bergen</t>
  </si>
  <si>
    <t>Bergen - Ålesund</t>
  </si>
  <si>
    <t>Florø - Tromsø</t>
  </si>
  <si>
    <t>LHV Volumetric [kWh/m^3_CH4]</t>
  </si>
  <si>
    <t>LHV Gravimetric [kWh/kg_CH4]</t>
  </si>
  <si>
    <t>LHV Volumetric [kJ/l_CH4]</t>
  </si>
  <si>
    <t>LHV Gravimetric [kJ/kg_CH4]</t>
  </si>
  <si>
    <t>LHV [kWh/kg_NH3]</t>
  </si>
  <si>
    <t>LHV volumetric density (at) 700 bar [kWh/m^3_H2]</t>
  </si>
  <si>
    <t>LNG data</t>
  </si>
  <si>
    <t>LHV [kJ/kg_NH3]</t>
  </si>
  <si>
    <t>Density (at) 700 bar [kg/m^3_H2]</t>
  </si>
  <si>
    <t>Ammonia data</t>
  </si>
  <si>
    <t>Oxygen data</t>
  </si>
  <si>
    <t>LHV volumetric density (at) 350 bar [kWh/m^3_H2]</t>
  </si>
  <si>
    <t>Density (at) 350 bar [kg/m^3_H2]</t>
  </si>
  <si>
    <t>O2 WT%</t>
  </si>
  <si>
    <t>HHV deltaG [kWh/kg_H2]</t>
  </si>
  <si>
    <t>h_water_T2</t>
  </si>
  <si>
    <t>Density_293,15 K [kg/m^3]</t>
  </si>
  <si>
    <t>LHV deltaG [kWh/kg_H2]</t>
  </si>
  <si>
    <t>h_1 (water(at)279,15 K+1atm) [kJ/kg]</t>
  </si>
  <si>
    <t>H0-DBT data</t>
  </si>
  <si>
    <t>HHV deltaG [kj/kg_H2]</t>
  </si>
  <si>
    <t>Density_279,15 K [kg/m^3]</t>
  </si>
  <si>
    <t>LHV deltaG [kJ/kg_H2]</t>
  </si>
  <si>
    <t>Water data</t>
  </si>
  <si>
    <t>LHV(H2) Volumetric [kWh_H2/m^3_H18-DBT]</t>
  </si>
  <si>
    <t>HHV [kWh/kg_H2]</t>
  </si>
  <si>
    <t>LHV [kWh/kg_H2]</t>
  </si>
  <si>
    <t>Celcius to Kelvin</t>
  </si>
  <si>
    <t>H2 density [kg_H2/m^3_H18-DBT]</t>
  </si>
  <si>
    <t>HHV [kJ/kg_H2]</t>
  </si>
  <si>
    <t>hours to seconds</t>
  </si>
  <si>
    <t>LHV [kJ/kg_H2]</t>
  </si>
  <si>
    <t>Tonne to kg</t>
  </si>
  <si>
    <t>HHV delta G [kJ/mol_H2]</t>
  </si>
  <si>
    <t>LHV delta G [kJ/mol_H2]</t>
  </si>
  <si>
    <t>[days to hours]</t>
  </si>
  <si>
    <t>Densitiy_293,15 K [kg/m^3]</t>
  </si>
  <si>
    <t>Molarmass H [g/mol]</t>
  </si>
  <si>
    <t>[kJ/mol_H2] to [kJ/kg_H2]</t>
  </si>
  <si>
    <t>Densitiy_423,15 K [kg/m^3]</t>
  </si>
  <si>
    <t>HHV [kJ/mol_H2]</t>
  </si>
  <si>
    <t>[kJ] to [kWh]</t>
  </si>
  <si>
    <t>H18-DBT data</t>
  </si>
  <si>
    <t>LHV [kJ/mol_H2]</t>
  </si>
  <si>
    <t>Conversion factors</t>
  </si>
  <si>
    <t>LOHC data</t>
  </si>
  <si>
    <t>Hydrogen data</t>
  </si>
  <si>
    <t>Thermodynamic data</t>
  </si>
  <si>
    <t>Formula-derived data</t>
  </si>
  <si>
    <t>#</t>
  </si>
  <si>
    <t>User input</t>
  </si>
  <si>
    <t>Products</t>
  </si>
  <si>
    <t>Energy/power consumption</t>
  </si>
  <si>
    <t>Extrapolated</t>
  </si>
  <si>
    <t>Cp [kJ/(K*kg)]</t>
  </si>
  <si>
    <t>T [K]</t>
  </si>
  <si>
    <t>Calculating an extropolated Cp value for H0 and H18 DBT</t>
  </si>
  <si>
    <t>Coordinate corrections</t>
  </si>
  <si>
    <t>AIS-data from MarineTraffic</t>
  </si>
  <si>
    <t>Description</t>
  </si>
  <si>
    <t>MarineTraffic AIS-data MS Rubin Bøe, Gullbrå Reinertsen</t>
  </si>
  <si>
    <t>Daily sailing</t>
  </si>
  <si>
    <t>Support engines power consumption [kW]</t>
  </si>
  <si>
    <t>Density liquid [kg/m^3_H2]</t>
  </si>
  <si>
    <t>LHV volumetric density liquid [kWh/m^3_H2]</t>
  </si>
  <si>
    <t>Main engine max power consumption [kW]</t>
  </si>
  <si>
    <t>Total max power consumption [kW]</t>
  </si>
  <si>
    <t xml:space="preserve"> </t>
  </si>
  <si>
    <t>Density_NH3_liquid(at)20 C [kg/m^3_NH3]</t>
  </si>
  <si>
    <t>LHV Volumetric_20 C [kWh/m^3_NH3]</t>
  </si>
  <si>
    <t>Fuel oil ISO 8217 - F-RMK 700</t>
  </si>
  <si>
    <t>Daily fuel consumption [m3]</t>
  </si>
  <si>
    <t>Average with loosing voyage</t>
  </si>
  <si>
    <t>Average without loosing voyage</t>
  </si>
  <si>
    <t>wt% water</t>
  </si>
  <si>
    <t>wt% ash</t>
  </si>
  <si>
    <t>wt% sulfur</t>
  </si>
  <si>
    <t>vt% water</t>
  </si>
  <si>
    <t>Density_288 K [kg/m^3]</t>
  </si>
  <si>
    <t>Density _288 K [kg/m^3]</t>
  </si>
  <si>
    <t>LHV [MJ/kg_8217]</t>
  </si>
  <si>
    <t>Efficiency</t>
  </si>
  <si>
    <t>Baudouin 12 M26.2</t>
  </si>
  <si>
    <t>Leroy Somer LSAM49.1L9</t>
  </si>
  <si>
    <t>Lower calorific power [MJ/kg]</t>
  </si>
  <si>
    <t>SFOC_(at) ISO conditions (8217 RMK700) [g/kwh]</t>
  </si>
  <si>
    <t>Unloading</t>
  </si>
  <si>
    <t>Wärtsilä 9L20</t>
  </si>
  <si>
    <t>SFOC_(at) ISO conditions [g/kWh]</t>
  </si>
  <si>
    <t>SFOC (with regard to Baudouin's wrongly defined calorific power value [g/kWh]</t>
  </si>
  <si>
    <t>Tromsø - Florø</t>
  </si>
  <si>
    <t>Main engine</t>
  </si>
  <si>
    <t>Aux engine</t>
  </si>
  <si>
    <t>Voyage energy consumption</t>
  </si>
  <si>
    <t>Gross energy consumption average voyage [kWh]</t>
  </si>
  <si>
    <t>Net energy consumption [kWh]</t>
  </si>
  <si>
    <t>Ideal efficiency</t>
  </si>
  <si>
    <t>Average efficency</t>
  </si>
  <si>
    <t>Average efficiency</t>
  </si>
  <si>
    <t>Data from supplier / bridge</t>
  </si>
  <si>
    <t>Mega to kilo</t>
  </si>
  <si>
    <t>Stamford HCM 434F</t>
  </si>
  <si>
    <t>0,941</t>
  </si>
  <si>
    <t>Auxiliary power</t>
  </si>
  <si>
    <t>Total efficiency</t>
  </si>
  <si>
    <t>Volumetric energy density _liquid_OHC [kWh/m^3_H2]</t>
  </si>
  <si>
    <t>Volumetric energy density liquid + storage [kWh/m^3_H2]</t>
  </si>
  <si>
    <t>Gravimetric energy density liquid + storage [kWh/kg_H2]</t>
  </si>
  <si>
    <t>Volumetric energy density _OHC [kWh/m^3_NH3]</t>
  </si>
  <si>
    <t>Volumetric energy density _liquid_OHC+storage [kWh/m^3]</t>
  </si>
  <si>
    <t>Volumetric energy density _OHC+storage [kWh/m^3]</t>
  </si>
  <si>
    <t>H2 wt% in DBT</t>
  </si>
  <si>
    <t>Gravimetric energy density [kWh/kg_8217]</t>
  </si>
  <si>
    <t>Calculations - Bøe, Gullbrå, Reinertsen</t>
  </si>
  <si>
    <t>Electrolysis</t>
  </si>
  <si>
    <t>Hydrogen production</t>
  </si>
  <si>
    <t>Natural Gas</t>
  </si>
  <si>
    <t>Oil</t>
  </si>
  <si>
    <t>Coal</t>
  </si>
  <si>
    <t>Hydrogen consumption</t>
  </si>
  <si>
    <t>Refining</t>
  </si>
  <si>
    <t>Other</t>
  </si>
  <si>
    <t>Ammonia prod.</t>
  </si>
  <si>
    <t>Methanol prod.</t>
  </si>
  <si>
    <t>Density (at) 1 bar [kg/m^3_H2]</t>
  </si>
  <si>
    <t>Sailing Time [hours]</t>
  </si>
  <si>
    <t>Loading [hours]</t>
  </si>
  <si>
    <t>Volumetric energy density + tank [kWh_H18-DBT/m^3_tankouter]</t>
  </si>
  <si>
    <t>Gravimetric energy density + tank [kWh_LOHC/kg]</t>
  </si>
  <si>
    <t>AEC low</t>
  </si>
  <si>
    <t>AEC high</t>
  </si>
  <si>
    <t>PEMEC low</t>
  </si>
  <si>
    <t>PEMEC high</t>
  </si>
  <si>
    <t>Electrolysers</t>
  </si>
  <si>
    <t>Electricity</t>
  </si>
  <si>
    <t>Lower</t>
  </si>
  <si>
    <t>Higher</t>
  </si>
  <si>
    <t>Plant</t>
  </si>
  <si>
    <t>CAPEX [€/kW]</t>
  </si>
  <si>
    <t>CAPEX [€/kW] (2030)</t>
  </si>
  <si>
    <t>OPEX [€/kW]</t>
  </si>
  <si>
    <t>OPEX [€/kW] (2030)</t>
  </si>
  <si>
    <t>Cost of electricity [€/kWh]</t>
  </si>
  <si>
    <t>Cost of electricity [€/kWh] (2030)</t>
  </si>
  <si>
    <t>Installed power [kW]</t>
  </si>
  <si>
    <t>Annual hydrogen production [kg]</t>
  </si>
  <si>
    <t>Operating time [h]</t>
  </si>
  <si>
    <t>f</t>
  </si>
  <si>
    <t>Discount rate</t>
  </si>
  <si>
    <t>Hydrogen</t>
  </si>
  <si>
    <t>AEC low 2030</t>
  </si>
  <si>
    <t>AEC high 2030</t>
  </si>
  <si>
    <t>PEMEC low 2030</t>
  </si>
  <si>
    <t>PEMEC high 2030</t>
  </si>
  <si>
    <t>Down payment (years)</t>
  </si>
  <si>
    <t>Cost analysis - Bøe, Gullbrå, Reinertsen</t>
  </si>
  <si>
    <t>Data from supplier / other sudies</t>
  </si>
  <si>
    <t>Hydrogen cost</t>
  </si>
  <si>
    <t>Cost of electricity €/kg</t>
  </si>
  <si>
    <t>Cost of electrolyser €/kg</t>
  </si>
  <si>
    <t>Sum €/kg</t>
  </si>
  <si>
    <t>NOK to Euro</t>
  </si>
  <si>
    <t>Electricity consumption [kWh/kg]</t>
  </si>
  <si>
    <t>Liquefaction cost</t>
  </si>
  <si>
    <t>Total investment cost [€/kg]</t>
  </si>
  <si>
    <t>Ammonia production cost</t>
  </si>
  <si>
    <t>Efficiencies:</t>
  </si>
  <si>
    <t>El motor ++</t>
  </si>
  <si>
    <t>L-H2:</t>
  </si>
  <si>
    <t>Baseline:</t>
  </si>
  <si>
    <t>Electrolysis:</t>
  </si>
  <si>
    <t>Liquefaction:</t>
  </si>
  <si>
    <t>Transport:</t>
  </si>
  <si>
    <t>Fuel [kWh/km]</t>
  </si>
  <si>
    <t>Energy [kWh]</t>
  </si>
  <si>
    <t>Weight factor:</t>
  </si>
  <si>
    <t>L-H2</t>
  </si>
  <si>
    <t>NH3</t>
  </si>
  <si>
    <t>DBT</t>
  </si>
  <si>
    <t>Fuel weight:</t>
  </si>
  <si>
    <t>L-H2 [kg]</t>
  </si>
  <si>
    <t>NH3 [kg]</t>
  </si>
  <si>
    <t>LHV(H2) Gravimetric [kWh_H2/kg_H18-DBT]</t>
  </si>
  <si>
    <t>Incl. storage</t>
  </si>
  <si>
    <t>Truck weight [kg]</t>
  </si>
  <si>
    <t>Ref. load [kg]</t>
  </si>
  <si>
    <t>Rate [vol%/d]</t>
  </si>
  <si>
    <t>Avg. speed [km/h]</t>
  </si>
  <si>
    <t>Time travelled [h]</t>
  </si>
  <si>
    <t>Total boil-off [vol %]:</t>
  </si>
  <si>
    <t>Energy lost [kWh]</t>
  </si>
  <si>
    <t>Molar mass O2 [g/mol]</t>
  </si>
  <si>
    <t>Molar mass H2O [g/mol]</t>
  </si>
  <si>
    <t>Loss [kWh]</t>
  </si>
  <si>
    <t>NH3:</t>
  </si>
  <si>
    <t>Cracking:</t>
  </si>
  <si>
    <t>DBT:</t>
  </si>
  <si>
    <t>Dehydrogenation:</t>
  </si>
  <si>
    <t>Hydrogenation:</t>
  </si>
  <si>
    <t>Endpoints:</t>
  </si>
  <si>
    <t>Diesel</t>
  </si>
  <si>
    <t>L-H2 production</t>
  </si>
  <si>
    <t>NH3 production</t>
  </si>
  <si>
    <t>DBT production</t>
  </si>
  <si>
    <t>NH3 cracking</t>
  </si>
  <si>
    <t>DBT dehydrogenation</t>
  </si>
  <si>
    <t>Hydrogen [kWh]</t>
  </si>
  <si>
    <t>Electricity from grid</t>
  </si>
  <si>
    <t>Energy source -&gt;</t>
  </si>
  <si>
    <t>Supply chains</t>
  </si>
  <si>
    <t>Liquid hydrogen:</t>
  </si>
  <si>
    <t>Total investment cost [€/kW]</t>
  </si>
  <si>
    <t>Cost of electricity [€/kg]</t>
  </si>
  <si>
    <t>Cost of liquefaction [€/kg]</t>
  </si>
  <si>
    <t>Gravimetric energy density + storage [kWh/kg_NH3]</t>
  </si>
  <si>
    <t>Volumetric energy density + storage [kWh/m^3_NH3]</t>
  </si>
  <si>
    <t>Annual ammonia production [kg]</t>
  </si>
  <si>
    <t>Sum [€/kg_ammonia]</t>
  </si>
  <si>
    <t>Cost of electricity €/kg_H2</t>
  </si>
  <si>
    <t>Cost of synthesis €/kg_H2</t>
  </si>
  <si>
    <t>Cost of electricity [€/ton_ammonia]</t>
  </si>
  <si>
    <t>Cost of synthesis [€/ton_ammonia]</t>
  </si>
  <si>
    <t>DBT cost</t>
  </si>
  <si>
    <t>DBT_price €/kg</t>
  </si>
  <si>
    <t>Annual DBT need [kg]</t>
  </si>
  <si>
    <t>Cost of hydrogenation €/kg_H2</t>
  </si>
  <si>
    <t>Toluene cost</t>
  </si>
  <si>
    <t>Toluene [€/kg_H2]</t>
  </si>
  <si>
    <t>DBT [€/kg_H2]</t>
  </si>
  <si>
    <t>NH3 [€/kg_H2]</t>
  </si>
  <si>
    <t>L-H2 [€/kg_H2]</t>
  </si>
  <si>
    <t>10^1 to 10^3</t>
  </si>
  <si>
    <t>Toluene_price €/kg</t>
  </si>
  <si>
    <r>
      <t xml:space="preserve">NOTE: Energy lost to cracking and dehydrogenation assumes </t>
    </r>
    <r>
      <rPr>
        <b/>
        <i/>
        <sz val="11"/>
        <color theme="1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 waste heat from fuel cell is used!</t>
    </r>
  </si>
  <si>
    <r>
      <t xml:space="preserve">In other words, hydrogen is </t>
    </r>
    <r>
      <rPr>
        <i/>
        <sz val="11"/>
        <color theme="1"/>
        <rFont val="Calibri"/>
        <family val="2"/>
        <scheme val="minor"/>
      </rPr>
      <t>burned</t>
    </r>
    <r>
      <rPr>
        <sz val="11"/>
        <color theme="1"/>
        <rFont val="Calibri"/>
        <family val="2"/>
        <scheme val="minor"/>
      </rPr>
      <t xml:space="preserve"> at these points.</t>
    </r>
  </si>
  <si>
    <t>Driving time limit [h]</t>
  </si>
  <si>
    <t>Break time [h]</t>
  </si>
  <si>
    <t>Boil-off, L-H2:</t>
  </si>
  <si>
    <t>Boil-off (trans. &amp; cont.):</t>
  </si>
  <si>
    <t>Transfer efficiency</t>
  </si>
  <si>
    <t>Continuous losses</t>
  </si>
  <si>
    <t>FC or ICE, avg.</t>
  </si>
  <si>
    <t>H2 prod, avg.</t>
  </si>
  <si>
    <t>SUPPLY SUMMARY:</t>
  </si>
  <si>
    <t>* Not including production of the hydrogen carrier itself!</t>
  </si>
  <si>
    <t>Per unloading</t>
  </si>
  <si>
    <t>Nr. of unloadings</t>
  </si>
  <si>
    <t>LOHC trailer</t>
  </si>
  <si>
    <t>Truck</t>
  </si>
  <si>
    <t>Deliveries per day</t>
  </si>
  <si>
    <t>Max number of trips per day</t>
  </si>
  <si>
    <t>Required number of trucks</t>
  </si>
  <si>
    <t>formula</t>
  </si>
  <si>
    <t>Exact</t>
  </si>
  <si>
    <t>time spent travelled [h]</t>
  </si>
  <si>
    <t>OPEX [€/km]</t>
  </si>
  <si>
    <t>OPEX [%CAPEX]</t>
  </si>
  <si>
    <t>Labour cost [€/h]</t>
  </si>
  <si>
    <t>Truck avaliability</t>
  </si>
  <si>
    <t>Fuel consumption [l/km]</t>
  </si>
  <si>
    <t>Total km per truck a year</t>
  </si>
  <si>
    <t>LOHC [€/kg_H2]</t>
  </si>
  <si>
    <t>Cost_fuel [€/kg_H2]</t>
  </si>
  <si>
    <t>Cost_personell [€/kg_H2]</t>
  </si>
  <si>
    <t>Cost_truck [€/kg_H2]</t>
  </si>
  <si>
    <t>Annualized investment [€_H2]</t>
  </si>
  <si>
    <t>Calculations truck</t>
  </si>
  <si>
    <t>Investment cost [€]</t>
  </si>
  <si>
    <t>Lifetime [years]</t>
  </si>
  <si>
    <t>Fuel price [€/l]</t>
  </si>
  <si>
    <t>LH2 trailer</t>
  </si>
  <si>
    <t>Ammonia trailer</t>
  </si>
  <si>
    <t>Specific cost Ammonia shipping</t>
  </si>
  <si>
    <t>Ammonia [€/kg_H2]</t>
  </si>
  <si>
    <t>Liquid hydrogen [€/kg_H2]</t>
  </si>
  <si>
    <t>Specific cost Liquid hydrogen shipping</t>
  </si>
  <si>
    <t>Specific cost LOHC shipping</t>
  </si>
  <si>
    <t>Hydrogen carrier cost</t>
  </si>
  <si>
    <t>Cost of electrolysis [€/kg]</t>
  </si>
  <si>
    <t>Total cost €/kg</t>
  </si>
  <si>
    <t>L-H2 low</t>
  </si>
  <si>
    <t>NH3 low</t>
  </si>
  <si>
    <t>DBT_low</t>
  </si>
  <si>
    <t>Toluene low</t>
  </si>
  <si>
    <t>L-H2_ high</t>
  </si>
  <si>
    <t>NH3_high</t>
  </si>
  <si>
    <t>DBT_high</t>
  </si>
  <si>
    <t>Toluene_high</t>
  </si>
  <si>
    <t>Cost of reforming [€/kg]</t>
  </si>
  <si>
    <t>Cost of transport [€/kg]</t>
  </si>
  <si>
    <t>Annuity</t>
  </si>
  <si>
    <t>Emission [kg_CO2/km]</t>
  </si>
  <si>
    <t>Hydrogen boil-off annual [kg]</t>
  </si>
  <si>
    <t>Hydrogen boil-off per truck [kg]</t>
  </si>
  <si>
    <t>Emission electricity [kg/kWh]</t>
  </si>
  <si>
    <t>L-H2 emission [kg_CO2/kg_H2]</t>
  </si>
  <si>
    <t>Liquefaction [kg_CO2/kg_H2]</t>
  </si>
  <si>
    <t>Transportation [kg_CO2]</t>
  </si>
  <si>
    <t>Electrolysis [kg_CO2]</t>
  </si>
  <si>
    <t>Synthesis [kg_CO2]</t>
  </si>
  <si>
    <t>Ammonia [kg_CO2/kg_H2]</t>
  </si>
  <si>
    <t>LOHC [kg_CO2/kg_H2]</t>
  </si>
  <si>
    <t>Transportation [kg_CO2/kg_H2]</t>
  </si>
  <si>
    <t>Electrolysis [kg_CO2/kg_H2]</t>
  </si>
  <si>
    <t>Alkaline FC</t>
  </si>
  <si>
    <t>Electrical</t>
  </si>
  <si>
    <t>Bunkering</t>
  </si>
  <si>
    <t>Transport</t>
  </si>
  <si>
    <t>Liquefaction</t>
  </si>
  <si>
    <t>Mongstad to Florø:</t>
  </si>
  <si>
    <t>PEM electrolysis</t>
  </si>
  <si>
    <t>Haber Bosch</t>
  </si>
  <si>
    <t>Alkaline electrolysis</t>
  </si>
  <si>
    <t>Ammonia produced [kWh]</t>
  </si>
  <si>
    <t>Hydrogenation</t>
  </si>
  <si>
    <t>SOFC_el</t>
  </si>
  <si>
    <t>SOFC_th</t>
  </si>
  <si>
    <t>Dehydrogenation</t>
  </si>
  <si>
    <t>distance [km]</t>
  </si>
  <si>
    <t>Tank weight:</t>
  </si>
  <si>
    <t>DBT [kg] (loaded)</t>
  </si>
  <si>
    <t>&lt;- DBT (unloaded)</t>
  </si>
  <si>
    <t>Excl. hydrogen</t>
  </si>
  <si>
    <t>Trucks</t>
  </si>
  <si>
    <t>Transport calculations include return trip</t>
  </si>
  <si>
    <t>Herøya to Florø:</t>
  </si>
  <si>
    <t>kWh of energy in</t>
  </si>
  <si>
    <t>System efficiency</t>
  </si>
  <si>
    <t>Energy in [kWh]</t>
  </si>
  <si>
    <t>Energy out [kWh]</t>
  </si>
  <si>
    <t>Production:</t>
  </si>
  <si>
    <t>Energy consumed [kWh]</t>
  </si>
  <si>
    <t>Boil-off:</t>
  </si>
  <si>
    <t>Truck:</t>
  </si>
  <si>
    <t>Bunkering:</t>
  </si>
  <si>
    <t>Total efficiency of hydrogen production</t>
  </si>
  <si>
    <t>Liquid hydrogen produced [kWh]</t>
  </si>
  <si>
    <t>Loss of mass</t>
  </si>
  <si>
    <t>Electrical system:</t>
  </si>
  <si>
    <t>Fuel cell:</t>
  </si>
  <si>
    <t>-</t>
  </si>
  <si>
    <t>Liquid hydrogen loaded onto ship [kWh]</t>
  </si>
  <si>
    <t>Electricity consumption of electrolysis and liquefaction [kWh]</t>
  </si>
  <si>
    <t>Loss of mass and energy consumption during transport [kWh]</t>
  </si>
  <si>
    <t>Haber-Bosch process:</t>
  </si>
  <si>
    <t>Total efficiency of ammonia production</t>
  </si>
  <si>
    <t>Propulsion</t>
  </si>
  <si>
    <t>Fuel cell electrical:</t>
  </si>
  <si>
    <t>Fuel cell thermal:</t>
  </si>
  <si>
    <t>H18-DBT [kWh]</t>
  </si>
  <si>
    <t>Electricity consumption of electrolysis and hydrogenation [kWh]</t>
  </si>
  <si>
    <t>Total efficiency of H18-DBT production</t>
  </si>
  <si>
    <t>Ammonia hydrogen loaded onto ship [kWh]</t>
  </si>
  <si>
    <t>Total efficiency of hydrogen supply</t>
  </si>
  <si>
    <t>Heat exchanger:</t>
  </si>
  <si>
    <t>Loss of mass during transport [kWh]</t>
  </si>
  <si>
    <t>&lt;- supply chain efficiency, incl. power conversion</t>
  </si>
  <si>
    <t>E_supply [kWh]</t>
  </si>
  <si>
    <t>E_out (H2) [kWh]</t>
  </si>
  <si>
    <t>Production total:</t>
  </si>
  <si>
    <t>Ammonia</t>
  </si>
  <si>
    <t>kWh available after power conversion</t>
  </si>
  <si>
    <t>kWh required for entire supply chain</t>
  </si>
  <si>
    <t>kWh lost in the process</t>
  </si>
  <si>
    <t>(E_in)</t>
  </si>
  <si>
    <t>(E_out)</t>
  </si>
  <si>
    <t>Haber-Bosch:</t>
  </si>
  <si>
    <t>Dibenzyltoluene</t>
  </si>
  <si>
    <t>PROD. SUMMARY:</t>
  </si>
  <si>
    <t>kg hydrogen.</t>
  </si>
  <si>
    <t>NOTE: HBP and hydrogenation also uses chemical</t>
  </si>
  <si>
    <t>energy from the hydrogen itself!</t>
  </si>
  <si>
    <t>This is accounted for in the energy supply definitions</t>
  </si>
  <si>
    <t>kWh required for entire supply chain*</t>
  </si>
  <si>
    <t>L-H2 production - reltative energy consumptio [kWh/kWh_H_2]</t>
  </si>
  <si>
    <t>Liquefaction relative energy consumption [kWhel/kWh_H2]</t>
  </si>
  <si>
    <t>Loss</t>
  </si>
  <si>
    <t>Electrical energy in</t>
  </si>
  <si>
    <t>Liquefaction using thermodynamic efficiency</t>
  </si>
  <si>
    <t>Volume including storage [m^3]</t>
  </si>
  <si>
    <t>Liquid hydrogen</t>
  </si>
  <si>
    <t>Mass including storage [kg]</t>
  </si>
  <si>
    <t>Emission electricity [kg_CO2]</t>
  </si>
  <si>
    <t>Emission transportation [kg_CO2]</t>
  </si>
  <si>
    <t>time [day]</t>
  </si>
  <si>
    <t>H2 mass equvalent [kg_H2]</t>
  </si>
  <si>
    <t>SOFC_low-th</t>
  </si>
  <si>
    <t>SOFC_high-th</t>
  </si>
  <si>
    <t>SOFC produces 79107 kWh while LOHC needs 71203 kWh</t>
  </si>
  <si>
    <t>Bunkering data</t>
  </si>
  <si>
    <t>Emission data</t>
  </si>
  <si>
    <t>Mass of fuel [kg]</t>
  </si>
  <si>
    <t>Density_CH4 (at) 4 bar [kg/m^3_CH4]</t>
  </si>
  <si>
    <t>Methanol data</t>
  </si>
  <si>
    <t>Density_methanol</t>
  </si>
  <si>
    <t>Well to wake Low [gram/kWh]</t>
  </si>
  <si>
    <t>Well to wake High [gram/kWh]</t>
  </si>
  <si>
    <t>Low estimate emission [tons]</t>
  </si>
  <si>
    <t>High estimate emission [tons]</t>
  </si>
  <si>
    <t>MGO, 4-stroke Diesel 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</si>
</sst>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0.0000"/>
    <numFmt numFmtId="166" formatCode="0.0"/>
    <numFmt numFmtId="167" formatCode="0.000000"/>
    <numFmt numFmtId="168" formatCode="0.00000"/>
  </numFmts>
  <fonts count="23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a"/>
    </font>
    <font>
      <sz val="11"/>
      <color theme="1"/>
      <name val="Cambra"/>
    </font>
    <font>
      <b/>
      <sz val="11"/>
      <color rgb="FFFA7D00"/>
      <name val="Cambra"/>
    </font>
    <font>
      <sz val="11"/>
      <color rgb="FF006100"/>
      <name val="Cambra"/>
    </font>
    <font>
      <sz val="11"/>
      <color rgb="FF9C5700"/>
      <name val="Cambra"/>
    </font>
    <font>
      <sz val="11"/>
      <color rgb="FF3F3F76"/>
      <name val="Cambra"/>
    </font>
    <font>
      <sz val="11"/>
      <color theme="0"/>
      <name val="Cambra"/>
    </font>
    <font>
      <sz val="8"/>
      <color rgb="FF333333"/>
      <name val="Cambra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</fills>
  <borders count="7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theme="9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164" fontId="2" fillId="9" borderId="1">
      <alignment horizontal="center" vertical="center"/>
    </xf>
  </cellStyleXfs>
  <cellXfs count="497">
    <xf numFmtId="0" fontId="0" fillId="0" borderId="0" xfId="0"/>
    <xf numFmtId="0" fontId="7" fillId="0" borderId="0" xfId="0" applyFont="1"/>
    <xf numFmtId="0" fontId="9" fillId="0" borderId="0" xfId="0" applyFont="1"/>
    <xf numFmtId="0" fontId="10" fillId="5" borderId="13" xfId="4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1" fillId="3" borderId="25" xfId="2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6" borderId="25" xfId="5" applyFont="1" applyBorder="1" applyAlignment="1">
      <alignment horizontal="center"/>
    </xf>
    <xf numFmtId="0" fontId="12" fillId="4" borderId="25" xfId="3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6" fontId="9" fillId="0" borderId="27" xfId="0" applyNumberFormat="1" applyFont="1" applyBorder="1"/>
    <xf numFmtId="0" fontId="8" fillId="0" borderId="0" xfId="0" applyFont="1" applyAlignment="1"/>
    <xf numFmtId="0" fontId="13" fillId="2" borderId="27" xfId="1" applyFont="1" applyBorder="1" applyAlignment="1">
      <alignment horizontal="center"/>
    </xf>
    <xf numFmtId="0" fontId="12" fillId="4" borderId="27" xfId="3" applyFont="1" applyBorder="1" applyAlignment="1">
      <alignment horizontal="center"/>
    </xf>
    <xf numFmtId="0" fontId="10" fillId="5" borderId="27" xfId="4" applyFont="1" applyBorder="1" applyAlignment="1">
      <alignment horizontal="center"/>
    </xf>
    <xf numFmtId="0" fontId="9" fillId="8" borderId="27" xfId="7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4" fillId="7" borderId="27" xfId="6" applyFont="1" applyBorder="1" applyAlignment="1">
      <alignment horizontal="center"/>
    </xf>
    <xf numFmtId="0" fontId="14" fillId="7" borderId="0" xfId="6" applyFont="1" applyAlignment="1">
      <alignment horizontal="center" vertical="center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Alignment="1">
      <alignment horizontal="left"/>
    </xf>
    <xf numFmtId="22" fontId="9" fillId="0" borderId="0" xfId="0" applyNumberFormat="1" applyFont="1" applyAlignment="1">
      <alignment horizontal="left"/>
    </xf>
    <xf numFmtId="0" fontId="10" fillId="5" borderId="1" xfId="4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4" xfId="0" applyNumberFormat="1" applyFont="1" applyBorder="1" applyAlignment="1">
      <alignment horizontal="left"/>
    </xf>
    <xf numFmtId="22" fontId="9" fillId="0" borderId="5" xfId="0" applyNumberFormat="1" applyFont="1" applyBorder="1" applyAlignment="1">
      <alignment horizontal="left"/>
    </xf>
    <xf numFmtId="0" fontId="9" fillId="0" borderId="5" xfId="0" applyNumberFormat="1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5" borderId="2" xfId="4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7" borderId="5" xfId="6" applyFont="1" applyBorder="1" applyAlignment="1">
      <alignment horizontal="center" vertical="center"/>
    </xf>
    <xf numFmtId="0" fontId="14" fillId="7" borderId="6" xfId="6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left"/>
    </xf>
    <xf numFmtId="22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2" borderId="1" xfId="1" applyFont="1" applyBorder="1"/>
    <xf numFmtId="0" fontId="10" fillId="5" borderId="1" xfId="4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4" borderId="0" xfId="3" applyFont="1" applyBorder="1" applyAlignment="1">
      <alignment horizontal="center" vertical="center"/>
    </xf>
    <xf numFmtId="164" fontId="10" fillId="5" borderId="1" xfId="4" applyNumberFormat="1" applyFont="1" applyBorder="1" applyAlignment="1">
      <alignment horizontal="center" vertical="center"/>
    </xf>
    <xf numFmtId="164" fontId="10" fillId="5" borderId="17" xfId="4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left"/>
    </xf>
    <xf numFmtId="22" fontId="9" fillId="0" borderId="10" xfId="0" applyNumberFormat="1" applyFont="1" applyBorder="1" applyAlignment="1">
      <alignment horizontal="left"/>
    </xf>
    <xf numFmtId="0" fontId="14" fillId="7" borderId="28" xfId="6" applyFont="1" applyBorder="1" applyAlignment="1">
      <alignment horizontal="center" vertical="center"/>
    </xf>
    <xf numFmtId="164" fontId="10" fillId="5" borderId="29" xfId="4" applyNumberFormat="1" applyFont="1" applyBorder="1" applyAlignment="1">
      <alignment horizontal="center" vertical="center"/>
    </xf>
    <xf numFmtId="2" fontId="10" fillId="5" borderId="17" xfId="4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5" borderId="3" xfId="4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4" fillId="7" borderId="27" xfId="6" applyFont="1" applyBorder="1" applyAlignment="1">
      <alignment horizontal="center" vertical="center"/>
    </xf>
    <xf numFmtId="164" fontId="10" fillId="5" borderId="26" xfId="4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5" xfId="0" applyFont="1" applyBorder="1"/>
    <xf numFmtId="0" fontId="10" fillId="5" borderId="19" xfId="4" applyFont="1" applyBorder="1" applyAlignment="1">
      <alignment horizontal="center" vertical="center"/>
    </xf>
    <xf numFmtId="0" fontId="10" fillId="5" borderId="17" xfId="4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10" xfId="0" applyFont="1" applyBorder="1"/>
    <xf numFmtId="0" fontId="10" fillId="5" borderId="21" xfId="4" applyFont="1" applyBorder="1" applyAlignment="1">
      <alignment horizontal="center" vertical="center"/>
    </xf>
    <xf numFmtId="0" fontId="13" fillId="2" borderId="2" xfId="1" applyNumberFormat="1" applyFont="1" applyBorder="1" applyAlignment="1">
      <alignment horizontal="left"/>
    </xf>
    <xf numFmtId="164" fontId="10" fillId="5" borderId="3" xfId="4" applyNumberFormat="1" applyFont="1" applyBorder="1" applyAlignment="1">
      <alignment horizontal="center" vertical="center"/>
    </xf>
    <xf numFmtId="164" fontId="10" fillId="5" borderId="2" xfId="4" applyNumberFormat="1" applyFont="1" applyBorder="1" applyAlignment="1">
      <alignment horizontal="center" vertical="center"/>
    </xf>
    <xf numFmtId="0" fontId="13" fillId="2" borderId="10" xfId="1" applyNumberFormat="1" applyFont="1" applyBorder="1" applyAlignment="1">
      <alignment horizontal="left"/>
    </xf>
    <xf numFmtId="0" fontId="13" fillId="2" borderId="5" xfId="1" applyNumberFormat="1" applyFont="1" applyBorder="1" applyAlignment="1">
      <alignment horizontal="left"/>
    </xf>
    <xf numFmtId="0" fontId="13" fillId="2" borderId="0" xfId="1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3" fillId="2" borderId="1" xfId="1" applyNumberFormat="1" applyFont="1" applyBorder="1" applyAlignment="1">
      <alignment horizontal="left"/>
    </xf>
    <xf numFmtId="0" fontId="13" fillId="2" borderId="3" xfId="1" applyNumberFormat="1" applyFont="1" applyBorder="1" applyAlignment="1">
      <alignment horizontal="left"/>
    </xf>
    <xf numFmtId="0" fontId="13" fillId="2" borderId="12" xfId="1" applyNumberFormat="1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4" borderId="10" xfId="3" applyFont="1" applyBorder="1" applyAlignment="1">
      <alignment horizontal="center" vertical="center"/>
    </xf>
    <xf numFmtId="2" fontId="10" fillId="5" borderId="21" xfId="4" applyNumberFormat="1" applyFont="1" applyBorder="1" applyAlignment="1">
      <alignment horizontal="center" vertical="center"/>
    </xf>
    <xf numFmtId="0" fontId="13" fillId="2" borderId="13" xfId="1" applyNumberFormat="1" applyFont="1" applyBorder="1" applyAlignment="1">
      <alignment horizontal="left"/>
    </xf>
    <xf numFmtId="0" fontId="13" fillId="2" borderId="14" xfId="1" applyNumberFormat="1" applyFont="1" applyFill="1" applyBorder="1" applyAlignment="1">
      <alignment horizontal="left"/>
    </xf>
    <xf numFmtId="0" fontId="13" fillId="2" borderId="0" xfId="1" applyNumberFormat="1" applyFont="1" applyFill="1" applyBorder="1" applyAlignment="1">
      <alignment horizontal="left"/>
    </xf>
    <xf numFmtId="0" fontId="13" fillId="2" borderId="3" xfId="1" applyFont="1" applyBorder="1"/>
    <xf numFmtId="0" fontId="13" fillId="2" borderId="2" xfId="1" applyFont="1" applyBorder="1"/>
    <xf numFmtId="0" fontId="13" fillId="2" borderId="3" xfId="1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10" fillId="5" borderId="30" xfId="4" applyFont="1" applyBorder="1" applyAlignment="1">
      <alignment horizontal="center" vertical="center"/>
    </xf>
    <xf numFmtId="0" fontId="14" fillId="7" borderId="24" xfId="6" applyFont="1" applyBorder="1" applyAlignment="1">
      <alignment horizontal="left"/>
    </xf>
    <xf numFmtId="0" fontId="10" fillId="5" borderId="15" xfId="4" applyFont="1" applyBorder="1" applyAlignment="1">
      <alignment horizontal="center" vertical="center"/>
    </xf>
    <xf numFmtId="0" fontId="2" fillId="0" borderId="0" xfId="0" applyFont="1"/>
    <xf numFmtId="2" fontId="5" fillId="5" borderId="18" xfId="4" applyNumberFormat="1" applyFont="1" applyBorder="1" applyAlignment="1"/>
    <xf numFmtId="166" fontId="5" fillId="5" borderId="17" xfId="4" applyNumberFormat="1" applyFont="1" applyBorder="1" applyAlignment="1"/>
    <xf numFmtId="0" fontId="2" fillId="0" borderId="4" xfId="0" applyFont="1" applyBorder="1"/>
    <xf numFmtId="1" fontId="5" fillId="5" borderId="17" xfId="4" applyNumberFormat="1" applyFont="1" applyBorder="1" applyAlignment="1"/>
    <xf numFmtId="0" fontId="5" fillId="5" borderId="18" xfId="4" applyFont="1" applyBorder="1" applyAlignment="1">
      <alignment horizontal="center"/>
    </xf>
    <xf numFmtId="1" fontId="5" fillId="5" borderId="17" xfId="4" applyNumberFormat="1" applyFont="1" applyBorder="1" applyAlignment="1">
      <alignment horizontal="right" vertical="center"/>
    </xf>
    <xf numFmtId="0" fontId="2" fillId="0" borderId="7" xfId="0" applyFont="1" applyBorder="1"/>
    <xf numFmtId="164" fontId="2" fillId="0" borderId="8" xfId="0" applyNumberFormat="1" applyFont="1" applyBorder="1"/>
    <xf numFmtId="0" fontId="5" fillId="5" borderId="18" xfId="4" applyFont="1" applyBorder="1" applyAlignment="1">
      <alignment horizontal="center" vertical="center"/>
    </xf>
    <xf numFmtId="1" fontId="5" fillId="5" borderId="17" xfId="4" applyNumberFormat="1" applyFont="1" applyBorder="1"/>
    <xf numFmtId="0" fontId="16" fillId="0" borderId="7" xfId="0" applyFont="1" applyBorder="1"/>
    <xf numFmtId="1" fontId="16" fillId="0" borderId="8" xfId="0" applyNumberFormat="1" applyFont="1" applyBorder="1"/>
    <xf numFmtId="2" fontId="5" fillId="5" borderId="22" xfId="4" applyNumberFormat="1" applyFont="1" applyBorder="1" applyAlignment="1"/>
    <xf numFmtId="1" fontId="5" fillId="5" borderId="21" xfId="4" applyNumberFormat="1" applyFont="1" applyBorder="1" applyAlignment="1"/>
    <xf numFmtId="0" fontId="16" fillId="0" borderId="7" xfId="0" applyFont="1" applyFill="1" applyBorder="1"/>
    <xf numFmtId="0" fontId="16" fillId="0" borderId="4" xfId="0" applyFont="1" applyBorder="1"/>
    <xf numFmtId="1" fontId="16" fillId="0" borderId="6" xfId="0" applyNumberFormat="1" applyFont="1" applyBorder="1"/>
    <xf numFmtId="2" fontId="16" fillId="0" borderId="8" xfId="0" applyNumberFormat="1" applyFont="1" applyBorder="1"/>
    <xf numFmtId="0" fontId="2" fillId="0" borderId="9" xfId="0" applyFont="1" applyFill="1" applyBorder="1"/>
    <xf numFmtId="164" fontId="2" fillId="0" borderId="11" xfId="0" applyNumberFormat="1" applyFont="1" applyBorder="1"/>
    <xf numFmtId="0" fontId="5" fillId="5" borderId="18" xfId="4" applyFont="1" applyBorder="1" applyAlignment="1"/>
    <xf numFmtId="164" fontId="5" fillId="5" borderId="17" xfId="4" applyNumberFormat="1" applyFont="1" applyBorder="1" applyAlignment="1"/>
    <xf numFmtId="0" fontId="5" fillId="5" borderId="18" xfId="4" applyFont="1" applyBorder="1"/>
    <xf numFmtId="164" fontId="5" fillId="5" borderId="17" xfId="4" applyNumberFormat="1" applyFont="1" applyBorder="1"/>
    <xf numFmtId="0" fontId="5" fillId="5" borderId="20" xfId="4" applyFont="1" applyBorder="1"/>
    <xf numFmtId="165" fontId="5" fillId="5" borderId="19" xfId="4" applyNumberFormat="1" applyFont="1" applyBorder="1"/>
    <xf numFmtId="164" fontId="16" fillId="0" borderId="8" xfId="0" applyNumberFormat="1" applyFont="1" applyBorder="1"/>
    <xf numFmtId="0" fontId="16" fillId="0" borderId="9" xfId="0" applyFont="1" applyBorder="1"/>
    <xf numFmtId="1" fontId="2" fillId="0" borderId="11" xfId="0" applyNumberFormat="1" applyFont="1" applyBorder="1"/>
    <xf numFmtId="1" fontId="5" fillId="5" borderId="19" xfId="4" applyNumberFormat="1" applyFont="1" applyBorder="1"/>
    <xf numFmtId="164" fontId="16" fillId="0" borderId="11" xfId="0" applyNumberFormat="1" applyFont="1" applyBorder="1"/>
    <xf numFmtId="1" fontId="16" fillId="0" borderId="11" xfId="0" applyNumberFormat="1" applyFont="1" applyBorder="1"/>
    <xf numFmtId="0" fontId="16" fillId="0" borderId="11" xfId="0" applyFont="1" applyBorder="1"/>
    <xf numFmtId="164" fontId="5" fillId="5" borderId="20" xfId="4" applyNumberFormat="1" applyFont="1" applyBorder="1" applyAlignment="1">
      <alignment horizontal="left" vertical="center"/>
    </xf>
    <xf numFmtId="1" fontId="5" fillId="5" borderId="19" xfId="4" applyNumberFormat="1" applyFont="1" applyBorder="1" applyAlignment="1">
      <alignment horizontal="right" vertical="center"/>
    </xf>
    <xf numFmtId="164" fontId="16" fillId="9" borderId="18" xfId="8" applyFont="1" applyBorder="1" applyAlignment="1">
      <alignment horizontal="left" vertical="center"/>
    </xf>
    <xf numFmtId="164" fontId="5" fillId="5" borderId="18" xfId="4" applyNumberFormat="1" applyFont="1" applyBorder="1" applyAlignment="1">
      <alignment horizontal="left" vertical="center"/>
    </xf>
    <xf numFmtId="164" fontId="5" fillId="5" borderId="22" xfId="4" applyNumberFormat="1" applyFont="1" applyBorder="1" applyAlignment="1"/>
    <xf numFmtId="1" fontId="5" fillId="5" borderId="21" xfId="4" applyNumberFormat="1" applyFont="1" applyBorder="1" applyAlignment="1">
      <alignment horizontal="right" vertical="center"/>
    </xf>
    <xf numFmtId="164" fontId="5" fillId="5" borderId="18" xfId="4" applyNumberFormat="1" applyFont="1" applyBorder="1"/>
    <xf numFmtId="164" fontId="16" fillId="0" borderId="7" xfId="0" applyNumberFormat="1" applyFont="1" applyBorder="1"/>
    <xf numFmtId="164" fontId="16" fillId="0" borderId="9" xfId="0" applyNumberFormat="1" applyFont="1" applyBorder="1"/>
    <xf numFmtId="164" fontId="16" fillId="9" borderId="17" xfId="8" applyNumberFormat="1" applyFont="1" applyBorder="1" applyAlignment="1">
      <alignment horizontal="right" vertical="center"/>
    </xf>
    <xf numFmtId="1" fontId="16" fillId="9" borderId="17" xfId="8" applyNumberFormat="1" applyFont="1" applyBorder="1" applyAlignment="1">
      <alignment horizontal="right" vertical="center"/>
    </xf>
    <xf numFmtId="164" fontId="16" fillId="9" borderId="22" xfId="8" applyFont="1" applyBorder="1" applyAlignment="1">
      <alignment horizontal="left" vertical="center"/>
    </xf>
    <xf numFmtId="1" fontId="16" fillId="9" borderId="21" xfId="8" applyNumberFormat="1" applyFont="1" applyBorder="1" applyAlignment="1">
      <alignment horizontal="right" vertical="center"/>
    </xf>
    <xf numFmtId="164" fontId="16" fillId="9" borderId="21" xfId="8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4" fontId="16" fillId="9" borderId="1" xfId="8" applyFont="1" applyBorder="1">
      <alignment horizontal="center" vertical="center"/>
    </xf>
    <xf numFmtId="164" fontId="16" fillId="9" borderId="1" xfId="8" applyFont="1">
      <alignment horizontal="center" vertical="center"/>
    </xf>
    <xf numFmtId="164" fontId="16" fillId="9" borderId="22" xfId="8" applyFont="1" applyBorder="1">
      <alignment horizontal="center" vertical="center"/>
    </xf>
    <xf numFmtId="164" fontId="16" fillId="9" borderId="3" xfId="8" applyFont="1" applyBorder="1">
      <alignment horizontal="center" vertical="center"/>
    </xf>
    <xf numFmtId="164" fontId="16" fillId="9" borderId="21" xfId="8" applyFont="1" applyBorder="1">
      <alignment horizontal="center" vertical="center"/>
    </xf>
    <xf numFmtId="0" fontId="0" fillId="0" borderId="0" xfId="0"/>
    <xf numFmtId="164" fontId="16" fillId="9" borderId="1" xfId="8" applyFont="1" applyBorder="1" applyAlignment="1">
      <alignment vertical="center"/>
    </xf>
    <xf numFmtId="164" fontId="16" fillId="9" borderId="17" xfId="8" applyFont="1" applyBorder="1" applyAlignment="1">
      <alignment vertical="center"/>
    </xf>
    <xf numFmtId="164" fontId="16" fillId="9" borderId="17" xfId="8" applyFont="1" applyBorder="1" applyAlignment="1">
      <alignment horizontal="right" vertical="center"/>
    </xf>
    <xf numFmtId="2" fontId="2" fillId="0" borderId="0" xfId="0" applyNumberFormat="1" applyFont="1"/>
    <xf numFmtId="0" fontId="0" fillId="0" borderId="0" xfId="0" applyFont="1"/>
    <xf numFmtId="0" fontId="16" fillId="0" borderId="0" xfId="0" applyFont="1"/>
    <xf numFmtId="167" fontId="2" fillId="0" borderId="6" xfId="0" applyNumberFormat="1" applyFont="1" applyBorder="1"/>
    <xf numFmtId="0" fontId="2" fillId="10" borderId="27" xfId="0" applyFont="1" applyFill="1" applyBorder="1"/>
    <xf numFmtId="0" fontId="0" fillId="11" borderId="27" xfId="0" applyFont="1" applyFill="1" applyBorder="1"/>
    <xf numFmtId="0" fontId="0" fillId="12" borderId="27" xfId="0" applyFont="1" applyFill="1" applyBorder="1"/>
    <xf numFmtId="2" fontId="2" fillId="10" borderId="27" xfId="0" applyNumberFormat="1" applyFont="1" applyFill="1" applyBorder="1"/>
    <xf numFmtId="2" fontId="2" fillId="11" borderId="27" xfId="0" applyNumberFormat="1" applyFont="1" applyFill="1" applyBorder="1"/>
    <xf numFmtId="2" fontId="2" fillId="12" borderId="27" xfId="0" applyNumberFormat="1" applyFont="1" applyFill="1" applyBorder="1"/>
    <xf numFmtId="0" fontId="2" fillId="11" borderId="27" xfId="0" applyFont="1" applyFill="1" applyBorder="1"/>
    <xf numFmtId="0" fontId="2" fillId="12" borderId="27" xfId="0" applyFont="1" applyFill="1" applyBorder="1"/>
    <xf numFmtId="0" fontId="2" fillId="10" borderId="48" xfId="0" applyFont="1" applyFill="1" applyBorder="1"/>
    <xf numFmtId="0" fontId="0" fillId="11" borderId="48" xfId="0" applyFont="1" applyFill="1" applyBorder="1"/>
    <xf numFmtId="0" fontId="18" fillId="11" borderId="49" xfId="0" applyFont="1" applyFill="1" applyBorder="1" applyAlignment="1">
      <alignment horizontal="center"/>
    </xf>
    <xf numFmtId="0" fontId="0" fillId="12" borderId="48" xfId="0" applyFill="1" applyBorder="1"/>
    <xf numFmtId="0" fontId="16" fillId="0" borderId="50" xfId="0" applyFont="1" applyBorder="1"/>
    <xf numFmtId="0" fontId="0" fillId="0" borderId="50" xfId="0" applyFont="1" applyBorder="1"/>
    <xf numFmtId="0" fontId="0" fillId="0" borderId="50" xfId="0" applyFont="1" applyFill="1" applyBorder="1"/>
    <xf numFmtId="0" fontId="16" fillId="0" borderId="42" xfId="0" applyFont="1" applyBorder="1"/>
    <xf numFmtId="0" fontId="2" fillId="0" borderId="42" xfId="0" applyFont="1" applyBorder="1"/>
    <xf numFmtId="0" fontId="0" fillId="0" borderId="42" xfId="0" applyFont="1" applyBorder="1"/>
    <xf numFmtId="2" fontId="2" fillId="0" borderId="42" xfId="0" applyNumberFormat="1" applyFont="1" applyBorder="1"/>
    <xf numFmtId="0" fontId="0" fillId="0" borderId="42" xfId="0" applyFont="1" applyFill="1" applyBorder="1"/>
    <xf numFmtId="0" fontId="16" fillId="0" borderId="0" xfId="0" applyFont="1" applyAlignment="1"/>
    <xf numFmtId="2" fontId="0" fillId="11" borderId="27" xfId="0" applyNumberFormat="1" applyFill="1" applyBorder="1"/>
    <xf numFmtId="2" fontId="0" fillId="10" borderId="27" xfId="0" applyNumberFormat="1" applyFill="1" applyBorder="1"/>
    <xf numFmtId="2" fontId="0" fillId="12" borderId="27" xfId="0" applyNumberFormat="1" applyFill="1" applyBorder="1"/>
    <xf numFmtId="0" fontId="0" fillId="0" borderId="0" xfId="0"/>
    <xf numFmtId="164" fontId="2" fillId="9" borderId="1" xfId="8">
      <alignment horizontal="center" vertical="center"/>
    </xf>
    <xf numFmtId="164" fontId="16" fillId="9" borderId="21" xfId="8" applyNumberFormat="1" applyFont="1" applyBorder="1" applyAlignment="1">
      <alignment horizontal="right" vertical="center"/>
    </xf>
    <xf numFmtId="0" fontId="5" fillId="5" borderId="1" xfId="4" applyFont="1" applyAlignment="1">
      <alignment horizontal="center"/>
    </xf>
    <xf numFmtId="0" fontId="5" fillId="5" borderId="1" xfId="4" applyFont="1" applyAlignment="1">
      <alignment horizontal="center" vertical="center"/>
    </xf>
    <xf numFmtId="1" fontId="5" fillId="5" borderId="1" xfId="4" applyNumberFormat="1" applyFont="1" applyAlignment="1">
      <alignment horizontal="center" vertical="center"/>
    </xf>
    <xf numFmtId="0" fontId="5" fillId="5" borderId="1" xfId="4" applyAlignment="1">
      <alignment horizontal="center"/>
    </xf>
    <xf numFmtId="0" fontId="16" fillId="0" borderId="0" xfId="0" applyFont="1" applyBorder="1" applyAlignment="1">
      <alignment horizontal="center"/>
    </xf>
    <xf numFmtId="166" fontId="5" fillId="5" borderId="33" xfId="4" applyNumberFormat="1" applyFont="1" applyBorder="1" applyAlignment="1">
      <alignment horizontal="center" vertical="center" wrapText="1"/>
    </xf>
    <xf numFmtId="166" fontId="5" fillId="5" borderId="1" xfId="4" applyNumberFormat="1" applyFont="1" applyBorder="1" applyAlignment="1">
      <alignment horizontal="center" vertical="center" wrapText="1"/>
    </xf>
    <xf numFmtId="166" fontId="5" fillId="5" borderId="34" xfId="4" applyNumberFormat="1" applyFont="1" applyBorder="1" applyAlignment="1">
      <alignment horizontal="center" vertical="center" wrapText="1"/>
    </xf>
    <xf numFmtId="166" fontId="5" fillId="5" borderId="1" xfId="4" applyNumberFormat="1" applyFont="1" applyBorder="1" applyAlignment="1">
      <alignment horizontal="center" vertical="center"/>
    </xf>
    <xf numFmtId="166" fontId="5" fillId="5" borderId="34" xfId="4" applyNumberFormat="1" applyFont="1" applyBorder="1" applyAlignment="1">
      <alignment horizontal="center" vertical="center"/>
    </xf>
    <xf numFmtId="164" fontId="5" fillId="5" borderId="33" xfId="4" applyNumberFormat="1" applyFont="1" applyBorder="1" applyAlignment="1">
      <alignment horizontal="center" vertical="center"/>
    </xf>
    <xf numFmtId="164" fontId="5" fillId="5" borderId="1" xfId="4" applyNumberFormat="1" applyFont="1" applyBorder="1" applyAlignment="1">
      <alignment horizontal="center" vertical="center"/>
    </xf>
    <xf numFmtId="164" fontId="5" fillId="5" borderId="34" xfId="4" applyNumberFormat="1" applyFont="1" applyBorder="1" applyAlignment="1">
      <alignment horizontal="center" vertical="center"/>
    </xf>
    <xf numFmtId="164" fontId="16" fillId="9" borderId="33" xfId="8" applyFont="1" applyBorder="1">
      <alignment horizontal="center" vertical="center"/>
    </xf>
    <xf numFmtId="164" fontId="16" fillId="9" borderId="34" xfId="8" applyFont="1" applyBorder="1">
      <alignment horizontal="center" vertical="center"/>
    </xf>
    <xf numFmtId="164" fontId="16" fillId="9" borderId="37" xfId="8" applyFont="1" applyBorder="1">
      <alignment horizontal="center" vertical="center"/>
    </xf>
    <xf numFmtId="164" fontId="16" fillId="9" borderId="41" xfId="8" applyFont="1" applyBorder="1">
      <alignment horizontal="center" vertical="center"/>
    </xf>
    <xf numFmtId="164" fontId="16" fillId="9" borderId="38" xfId="8" applyFont="1" applyBorder="1">
      <alignment horizontal="center" vertical="center"/>
    </xf>
    <xf numFmtId="0" fontId="16" fillId="0" borderId="8" xfId="0" applyFont="1" applyBorder="1"/>
    <xf numFmtId="0" fontId="16" fillId="0" borderId="7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64" fontId="5" fillId="5" borderId="1" xfId="4" applyNumberFormat="1" applyFont="1" applyAlignment="1">
      <alignment horizontal="center" vertical="center"/>
    </xf>
    <xf numFmtId="0" fontId="0" fillId="0" borderId="0" xfId="0"/>
    <xf numFmtId="164" fontId="16" fillId="9" borderId="18" xfId="8" applyFont="1" applyBorder="1">
      <alignment horizontal="center" vertical="center"/>
    </xf>
    <xf numFmtId="164" fontId="16" fillId="9" borderId="1" xfId="8" applyFont="1" applyBorder="1">
      <alignment horizontal="center" vertical="center"/>
    </xf>
    <xf numFmtId="164" fontId="16" fillId="9" borderId="17" xfId="8" applyFont="1" applyBorder="1">
      <alignment horizontal="center" vertical="center"/>
    </xf>
    <xf numFmtId="2" fontId="0" fillId="0" borderId="0" xfId="0" applyNumberFormat="1" applyFont="1"/>
    <xf numFmtId="0" fontId="0" fillId="0" borderId="0" xfId="0"/>
    <xf numFmtId="164" fontId="16" fillId="9" borderId="18" xfId="8" applyFont="1" applyBorder="1">
      <alignment horizontal="center" vertical="center"/>
    </xf>
    <xf numFmtId="164" fontId="16" fillId="9" borderId="17" xfId="8" applyFont="1" applyBorder="1">
      <alignment horizontal="center" vertical="center"/>
    </xf>
    <xf numFmtId="0" fontId="0" fillId="0" borderId="0" xfId="0" applyFont="1" applyBorder="1"/>
    <xf numFmtId="0" fontId="0" fillId="13" borderId="27" xfId="0" applyFill="1" applyBorder="1"/>
    <xf numFmtId="0" fontId="2" fillId="13" borderId="27" xfId="0" applyFont="1" applyFill="1" applyBorder="1"/>
    <xf numFmtId="2" fontId="0" fillId="13" borderId="27" xfId="0" applyNumberFormat="1" applyFill="1" applyBorder="1"/>
    <xf numFmtId="2" fontId="2" fillId="13" borderId="27" xfId="0" applyNumberFormat="1" applyFont="1" applyFill="1" applyBorder="1"/>
    <xf numFmtId="0" fontId="2" fillId="12" borderId="48" xfId="0" applyFont="1" applyFill="1" applyBorder="1"/>
    <xf numFmtId="1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42" xfId="0" applyFont="1" applyFill="1" applyBorder="1"/>
    <xf numFmtId="0" fontId="0" fillId="0" borderId="0" xfId="0" applyFont="1" applyAlignment="1">
      <alignment vertical="center"/>
    </xf>
    <xf numFmtId="0" fontId="5" fillId="5" borderId="13" xfId="4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164" fontId="0" fillId="9" borderId="18" xfId="8" applyFont="1" applyBorder="1">
      <alignment horizontal="center" vertical="center"/>
    </xf>
    <xf numFmtId="0" fontId="5" fillId="5" borderId="18" xfId="4" applyFont="1" applyBorder="1" applyAlignment="1">
      <alignment vertical="center"/>
    </xf>
    <xf numFmtId="0" fontId="5" fillId="5" borderId="1" xfId="4" applyFont="1" applyBorder="1" applyAlignment="1">
      <alignment vertical="center"/>
    </xf>
    <xf numFmtId="0" fontId="5" fillId="5" borderId="17" xfId="4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5" fillId="5" borderId="1" xfId="4" applyFont="1" applyBorder="1"/>
    <xf numFmtId="0" fontId="5" fillId="5" borderId="17" xfId="4" applyFont="1" applyBorder="1"/>
    <xf numFmtId="0" fontId="5" fillId="5" borderId="22" xfId="4" applyFont="1" applyBorder="1" applyAlignment="1">
      <alignment vertical="center"/>
    </xf>
    <xf numFmtId="0" fontId="5" fillId="5" borderId="3" xfId="4" applyFont="1" applyBorder="1" applyAlignment="1">
      <alignment vertical="center"/>
    </xf>
    <xf numFmtId="0" fontId="5" fillId="5" borderId="21" xfId="4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" fontId="5" fillId="5" borderId="1" xfId="4" applyNumberFormat="1" applyFont="1" applyAlignment="1">
      <alignment horizontal="right" vertical="center"/>
    </xf>
    <xf numFmtId="164" fontId="2" fillId="9" borderId="17" xfId="8" applyBorder="1">
      <alignment horizontal="center" vertical="center"/>
    </xf>
    <xf numFmtId="164" fontId="2" fillId="9" borderId="1" xfId="8" applyBorder="1">
      <alignment horizontal="center" vertical="center"/>
    </xf>
    <xf numFmtId="164" fontId="2" fillId="9" borderId="3" xfId="8" applyBorder="1">
      <alignment horizontal="center" vertical="center"/>
    </xf>
    <xf numFmtId="164" fontId="2" fillId="9" borderId="21" xfId="8" applyBorder="1">
      <alignment horizontal="center" vertical="center"/>
    </xf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/>
    <xf numFmtId="3" fontId="0" fillId="0" borderId="0" xfId="0" applyNumberFormat="1" applyFont="1" applyBorder="1" applyAlignment="1">
      <alignment vertical="center"/>
    </xf>
    <xf numFmtId="0" fontId="0" fillId="0" borderId="8" xfId="0" applyFont="1" applyBorder="1"/>
    <xf numFmtId="0" fontId="0" fillId="0" borderId="0" xfId="0"/>
    <xf numFmtId="164" fontId="16" fillId="9" borderId="18" xfId="8" applyFont="1" applyBorder="1">
      <alignment horizontal="center" vertical="center"/>
    </xf>
    <xf numFmtId="164" fontId="16" fillId="9" borderId="1" xfId="8" applyFont="1" applyBorder="1">
      <alignment horizontal="center" vertical="center"/>
    </xf>
    <xf numFmtId="164" fontId="16" fillId="9" borderId="17" xfId="8" applyFont="1" applyBorder="1">
      <alignment horizontal="center" vertical="center"/>
    </xf>
    <xf numFmtId="164" fontId="5" fillId="5" borderId="18" xfId="4" applyNumberFormat="1" applyFont="1" applyBorder="1" applyAlignment="1">
      <alignment horizontal="center" vertical="center"/>
    </xf>
    <xf numFmtId="164" fontId="5" fillId="5" borderId="17" xfId="4" applyNumberFormat="1" applyFont="1" applyBorder="1" applyAlignment="1">
      <alignment horizontal="right" vertical="center"/>
    </xf>
    <xf numFmtId="0" fontId="0" fillId="0" borderId="0" xfId="0" applyBorder="1"/>
    <xf numFmtId="0" fontId="0" fillId="0" borderId="8" xfId="0" applyBorder="1"/>
    <xf numFmtId="0" fontId="0" fillId="0" borderId="11" xfId="0" applyBorder="1"/>
    <xf numFmtId="168" fontId="16" fillId="9" borderId="17" xfId="8" applyNumberFormat="1" applyFont="1" applyBorder="1">
      <alignment horizontal="center" vertical="center"/>
    </xf>
    <xf numFmtId="0" fontId="0" fillId="0" borderId="0" xfId="0" applyFont="1"/>
    <xf numFmtId="0" fontId="0" fillId="0" borderId="6" xfId="0" applyFont="1" applyBorder="1" applyAlignment="1">
      <alignment vertical="center"/>
    </xf>
    <xf numFmtId="2" fontId="0" fillId="0" borderId="11" xfId="0" applyNumberFormat="1" applyFont="1" applyBorder="1" applyAlignment="1">
      <alignment vertical="center"/>
    </xf>
    <xf numFmtId="2" fontId="16" fillId="9" borderId="17" xfId="8" applyNumberFormat="1" applyFont="1" applyBorder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16" fillId="0" borderId="0" xfId="0" applyFont="1" applyBorder="1"/>
    <xf numFmtId="0" fontId="2" fillId="0" borderId="0" xfId="0" applyFont="1" applyBorder="1"/>
    <xf numFmtId="0" fontId="2" fillId="10" borderId="48" xfId="0" applyFont="1" applyFill="1" applyBorder="1" applyAlignment="1">
      <alignment horizontal="center"/>
    </xf>
    <xf numFmtId="164" fontId="2" fillId="9" borderId="55" xfId="8" applyBorder="1">
      <alignment horizontal="center" vertical="center"/>
    </xf>
    <xf numFmtId="164" fontId="2" fillId="9" borderId="33" xfId="8" applyBorder="1">
      <alignment horizontal="center" vertical="center"/>
    </xf>
    <xf numFmtId="164" fontId="2" fillId="9" borderId="34" xfId="8" applyBorder="1">
      <alignment horizontal="center" vertical="center"/>
    </xf>
    <xf numFmtId="164" fontId="2" fillId="9" borderId="37" xfId="8" applyBorder="1">
      <alignment horizontal="center" vertical="center"/>
    </xf>
    <xf numFmtId="164" fontId="2" fillId="9" borderId="41" xfId="8" applyBorder="1">
      <alignment horizontal="center" vertical="center"/>
    </xf>
    <xf numFmtId="164" fontId="2" fillId="9" borderId="38" xfId="8" applyBorder="1">
      <alignment horizontal="center" vertical="center"/>
    </xf>
    <xf numFmtId="164" fontId="2" fillId="9" borderId="57" xfId="8" applyBorder="1" applyAlignment="1">
      <alignment vertical="center"/>
    </xf>
    <xf numFmtId="164" fontId="2" fillId="9" borderId="53" xfId="8" applyBorder="1" applyAlignment="1">
      <alignment vertical="center"/>
    </xf>
    <xf numFmtId="164" fontId="2" fillId="9" borderId="26" xfId="8" applyBorder="1">
      <alignment horizontal="center" vertical="center"/>
    </xf>
    <xf numFmtId="0" fontId="18" fillId="11" borderId="27" xfId="0" applyFont="1" applyFill="1" applyBorder="1" applyAlignment="1">
      <alignment horizontal="center" vertical="center"/>
    </xf>
    <xf numFmtId="0" fontId="2" fillId="12" borderId="27" xfId="0" applyFont="1" applyFill="1" applyBorder="1" applyAlignment="1"/>
    <xf numFmtId="164" fontId="2" fillId="9" borderId="41" xfId="8" applyBorder="1" applyAlignment="1">
      <alignment vertical="center"/>
    </xf>
    <xf numFmtId="164" fontId="2" fillId="9" borderId="47" xfId="8" applyBorder="1" applyAlignment="1">
      <alignment horizontal="center" vertical="center"/>
    </xf>
    <xf numFmtId="164" fontId="2" fillId="9" borderId="47" xfId="8" applyBorder="1" applyAlignment="1">
      <alignment vertical="center"/>
    </xf>
    <xf numFmtId="0" fontId="18" fillId="11" borderId="32" xfId="0" applyFont="1" applyFill="1" applyBorder="1" applyAlignment="1">
      <alignment vertical="center"/>
    </xf>
    <xf numFmtId="0" fontId="18" fillId="11" borderId="31" xfId="0" applyFont="1" applyFill="1" applyBorder="1" applyAlignment="1">
      <alignment horizontal="center" vertical="center"/>
    </xf>
    <xf numFmtId="0" fontId="2" fillId="12" borderId="27" xfId="0" applyFont="1" applyFill="1" applyBorder="1" applyAlignment="1">
      <alignment horizontal="left"/>
    </xf>
    <xf numFmtId="164" fontId="2" fillId="9" borderId="58" xfId="8" applyBorder="1">
      <alignment horizontal="center" vertical="center"/>
    </xf>
    <xf numFmtId="164" fontId="2" fillId="9" borderId="59" xfId="8" applyBorder="1">
      <alignment horizontal="center" vertical="center"/>
    </xf>
    <xf numFmtId="0" fontId="2" fillId="12" borderId="48" xfId="0" applyFont="1" applyFill="1" applyBorder="1" applyAlignment="1"/>
    <xf numFmtId="164" fontId="16" fillId="9" borderId="35" xfId="8" applyFont="1" applyBorder="1" applyAlignment="1">
      <alignment horizontal="left" vertical="center"/>
    </xf>
    <xf numFmtId="0" fontId="2" fillId="0" borderId="56" xfId="0" applyFont="1" applyBorder="1"/>
    <xf numFmtId="164" fontId="21" fillId="9" borderId="33" xfId="8" applyFont="1" applyBorder="1" applyAlignment="1">
      <alignment horizontal="left" vertical="center"/>
    </xf>
    <xf numFmtId="164" fontId="22" fillId="9" borderId="1" xfId="8" applyFont="1" applyBorder="1">
      <alignment horizontal="center" vertical="center"/>
    </xf>
    <xf numFmtId="0" fontId="22" fillId="0" borderId="56" xfId="0" applyFont="1" applyBorder="1"/>
    <xf numFmtId="0" fontId="22" fillId="0" borderId="0" xfId="0" applyFont="1" applyBorder="1"/>
    <xf numFmtId="0" fontId="2" fillId="0" borderId="54" xfId="0" applyFont="1" applyBorder="1"/>
    <xf numFmtId="164" fontId="2" fillId="9" borderId="39" xfId="8" applyFont="1" applyBorder="1">
      <alignment horizontal="center" vertical="center"/>
    </xf>
    <xf numFmtId="0" fontId="16" fillId="0" borderId="56" xfId="0" applyFont="1" applyBorder="1"/>
    <xf numFmtId="0" fontId="21" fillId="0" borderId="56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9" borderId="13" xfId="8" applyBorder="1">
      <alignment horizontal="center" vertical="center"/>
    </xf>
    <xf numFmtId="2" fontId="16" fillId="0" borderId="0" xfId="0" applyNumberFormat="1" applyFont="1"/>
    <xf numFmtId="0" fontId="18" fillId="12" borderId="51" xfId="0" applyFont="1" applyFill="1" applyBorder="1" applyAlignment="1"/>
    <xf numFmtId="0" fontId="0" fillId="13" borderId="48" xfId="0" applyFont="1" applyFill="1" applyBorder="1"/>
    <xf numFmtId="0" fontId="0" fillId="13" borderId="27" xfId="0" applyFont="1" applyFill="1" applyBorder="1"/>
    <xf numFmtId="0" fontId="0" fillId="0" borderId="0" xfId="0" applyFill="1"/>
    <xf numFmtId="0" fontId="2" fillId="13" borderId="31" xfId="0" applyFont="1" applyFill="1" applyBorder="1"/>
    <xf numFmtId="0" fontId="0" fillId="13" borderId="31" xfId="0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0" fillId="0" borderId="56" xfId="0" applyFill="1" applyBorder="1" applyAlignment="1">
      <alignment horizontal="left"/>
    </xf>
    <xf numFmtId="0" fontId="18" fillId="0" borderId="56" xfId="0" applyFont="1" applyFill="1" applyBorder="1" applyAlignment="1">
      <alignment horizontal="center"/>
    </xf>
    <xf numFmtId="2" fontId="0" fillId="0" borderId="56" xfId="0" applyNumberFormat="1" applyFill="1" applyBorder="1"/>
    <xf numFmtId="2" fontId="2" fillId="0" borderId="56" xfId="0" applyNumberFormat="1" applyFont="1" applyFill="1" applyBorder="1"/>
    <xf numFmtId="0" fontId="0" fillId="0" borderId="56" xfId="0" applyFill="1" applyBorder="1"/>
    <xf numFmtId="0" fontId="2" fillId="14" borderId="27" xfId="0" applyFont="1" applyFill="1" applyBorder="1"/>
    <xf numFmtId="0" fontId="16" fillId="14" borderId="27" xfId="0" applyFont="1" applyFill="1" applyBorder="1"/>
    <xf numFmtId="0" fontId="0" fillId="14" borderId="27" xfId="0" applyFont="1" applyFill="1" applyBorder="1"/>
    <xf numFmtId="0" fontId="2" fillId="13" borderId="48" xfId="0" applyFont="1" applyFill="1" applyBorder="1"/>
    <xf numFmtId="0" fontId="18" fillId="13" borderId="49" xfId="0" applyFont="1" applyFill="1" applyBorder="1" applyAlignment="1"/>
    <xf numFmtId="0" fontId="0" fillId="0" borderId="56" xfId="0" applyBorder="1"/>
    <xf numFmtId="0" fontId="2" fillId="15" borderId="27" xfId="0" applyFont="1" applyFill="1" applyBorder="1"/>
    <xf numFmtId="2" fontId="2" fillId="15" borderId="27" xfId="0" applyNumberFormat="1" applyFont="1" applyFill="1" applyBorder="1"/>
    <xf numFmtId="2" fontId="0" fillId="15" borderId="27" xfId="0" applyNumberFormat="1" applyFill="1" applyBorder="1"/>
    <xf numFmtId="2" fontId="0" fillId="11" borderId="0" xfId="0" applyNumberFormat="1" applyFill="1"/>
    <xf numFmtId="2" fontId="18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/>
    <xf numFmtId="2" fontId="0" fillId="0" borderId="0" xfId="0" applyNumberFormat="1"/>
    <xf numFmtId="0" fontId="0" fillId="10" borderId="48" xfId="0" applyFill="1" applyBorder="1"/>
    <xf numFmtId="0" fontId="0" fillId="0" borderId="7" xfId="0" applyFill="1" applyBorder="1"/>
    <xf numFmtId="0" fontId="0" fillId="0" borderId="7" xfId="0" applyFill="1" applyBorder="1" applyAlignment="1">
      <alignment horizontal="left"/>
    </xf>
    <xf numFmtId="0" fontId="18" fillId="13" borderId="64" xfId="0" applyFont="1" applyFill="1" applyBorder="1"/>
    <xf numFmtId="0" fontId="0" fillId="10" borderId="65" xfId="0" applyFill="1" applyBorder="1"/>
    <xf numFmtId="0" fontId="0" fillId="13" borderId="66" xfId="0" applyFill="1" applyBorder="1"/>
    <xf numFmtId="2" fontId="0" fillId="10" borderId="67" xfId="0" applyNumberFormat="1" applyFill="1" applyBorder="1"/>
    <xf numFmtId="2" fontId="0" fillId="13" borderId="68" xfId="0" applyNumberFormat="1" applyFill="1" applyBorder="1"/>
    <xf numFmtId="2" fontId="0" fillId="10" borderId="69" xfId="0" applyNumberFormat="1" applyFill="1" applyBorder="1"/>
    <xf numFmtId="2" fontId="0" fillId="10" borderId="49" xfId="0" applyNumberFormat="1" applyFill="1" applyBorder="1"/>
    <xf numFmtId="0" fontId="0" fillId="0" borderId="40" xfId="0" applyBorder="1"/>
    <xf numFmtId="164" fontId="0" fillId="9" borderId="33" xfId="8" applyFont="1" applyBorder="1">
      <alignment horizontal="center" vertical="center"/>
    </xf>
    <xf numFmtId="164" fontId="0" fillId="9" borderId="1" xfId="8" applyFont="1" applyBorder="1">
      <alignment horizontal="center" vertical="center"/>
    </xf>
    <xf numFmtId="164" fontId="0" fillId="13" borderId="64" xfId="0" applyNumberFormat="1" applyFill="1" applyBorder="1"/>
    <xf numFmtId="1" fontId="0" fillId="0" borderId="0" xfId="0" applyNumberFormat="1"/>
    <xf numFmtId="0" fontId="0" fillId="0" borderId="0" xfId="0"/>
    <xf numFmtId="164" fontId="16" fillId="9" borderId="1" xfId="8" applyFont="1" applyBorder="1">
      <alignment horizontal="center" vertical="center"/>
    </xf>
    <xf numFmtId="164" fontId="2" fillId="9" borderId="33" xfId="8" applyBorder="1">
      <alignment horizontal="center" vertical="center"/>
    </xf>
    <xf numFmtId="164" fontId="2" fillId="9" borderId="1" xfId="8" applyBorder="1">
      <alignment horizontal="center" vertical="center"/>
    </xf>
    <xf numFmtId="164" fontId="16" fillId="9" borderId="1" xfId="8" applyFont="1">
      <alignment horizontal="center" vertical="center"/>
    </xf>
    <xf numFmtId="0" fontId="0" fillId="0" borderId="0" xfId="0"/>
    <xf numFmtId="0" fontId="9" fillId="0" borderId="56" xfId="0" applyFont="1" applyBorder="1" applyAlignment="1"/>
    <xf numFmtId="0" fontId="9" fillId="0" borderId="0" xfId="0" applyFont="1" applyAlignment="1"/>
    <xf numFmtId="164" fontId="2" fillId="9" borderId="36" xfId="8" applyFont="1" applyBorder="1">
      <alignment horizontal="center" vertical="center"/>
    </xf>
    <xf numFmtId="164" fontId="2" fillId="9" borderId="55" xfId="8" applyBorder="1" applyAlignment="1">
      <alignment vertical="center"/>
    </xf>
    <xf numFmtId="164" fontId="16" fillId="9" borderId="55" xfId="8" applyFont="1" applyBorder="1" applyAlignment="1">
      <alignment vertical="center"/>
    </xf>
    <xf numFmtId="164" fontId="2" fillId="9" borderId="35" xfId="8" applyBorder="1">
      <alignment horizontal="center" vertical="center"/>
    </xf>
    <xf numFmtId="164" fontId="2" fillId="9" borderId="39" xfId="8" applyBorder="1">
      <alignment horizontal="center" vertical="center"/>
    </xf>
    <xf numFmtId="164" fontId="2" fillId="9" borderId="36" xfId="8" applyBorder="1">
      <alignment horizontal="center" vertical="center"/>
    </xf>
    <xf numFmtId="164" fontId="2" fillId="9" borderId="70" xfId="8" applyBorder="1">
      <alignment horizontal="center" vertical="center"/>
    </xf>
    <xf numFmtId="164" fontId="2" fillId="9" borderId="57" xfId="8" applyBorder="1">
      <alignment horizontal="center" vertical="center"/>
    </xf>
    <xf numFmtId="164" fontId="2" fillId="9" borderId="71" xfId="8" applyBorder="1">
      <alignment horizontal="center" vertical="center"/>
    </xf>
    <xf numFmtId="0" fontId="0" fillId="0" borderId="0" xfId="0" applyFont="1" applyFill="1" applyBorder="1"/>
    <xf numFmtId="0" fontId="16" fillId="0" borderId="0" xfId="0" applyFont="1" applyFill="1" applyBorder="1"/>
    <xf numFmtId="2" fontId="0" fillId="0" borderId="0" xfId="0" applyNumberFormat="1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6" fillId="0" borderId="0" xfId="0" applyFont="1" applyFill="1" applyBorder="1" applyAlignment="1"/>
    <xf numFmtId="164" fontId="2" fillId="9" borderId="72" xfId="8" applyBorder="1">
      <alignment horizontal="center" vertical="center"/>
    </xf>
    <xf numFmtId="164" fontId="2" fillId="9" borderId="73" xfId="8" applyBorder="1">
      <alignment horizontal="center" vertical="center"/>
    </xf>
    <xf numFmtId="164" fontId="2" fillId="9" borderId="74" xfId="8" applyBorder="1">
      <alignment horizontal="center" vertical="center"/>
    </xf>
    <xf numFmtId="0" fontId="0" fillId="0" borderId="0" xfId="0"/>
    <xf numFmtId="164" fontId="0" fillId="0" borderId="15" xfId="0" applyNumberFormat="1" applyFont="1" applyBorder="1" applyAlignment="1">
      <alignment vertical="center"/>
    </xf>
    <xf numFmtId="0" fontId="2" fillId="10" borderId="75" xfId="0" applyFont="1" applyFill="1" applyBorder="1" applyAlignment="1">
      <alignment horizontal="center"/>
    </xf>
    <xf numFmtId="0" fontId="9" fillId="0" borderId="76" xfId="0" applyFont="1" applyBorder="1"/>
    <xf numFmtId="2" fontId="9" fillId="0" borderId="76" xfId="0" applyNumberFormat="1" applyFont="1" applyBorder="1"/>
    <xf numFmtId="2" fontId="9" fillId="0" borderId="77" xfId="0" applyNumberFormat="1" applyFont="1" applyBorder="1"/>
    <xf numFmtId="0" fontId="8" fillId="0" borderId="78" xfId="0" applyFont="1" applyBorder="1"/>
    <xf numFmtId="0" fontId="8" fillId="0" borderId="76" xfId="0" applyFont="1" applyBorder="1"/>
    <xf numFmtId="0" fontId="8" fillId="0" borderId="77" xfId="0" applyFont="1" applyBorder="1"/>
    <xf numFmtId="0" fontId="13" fillId="2" borderId="31" xfId="1" applyFont="1" applyBorder="1" applyAlignment="1">
      <alignment horizontal="center" vertical="center"/>
    </xf>
    <xf numFmtId="0" fontId="13" fillId="2" borderId="32" xfId="1" applyFont="1" applyBorder="1" applyAlignment="1">
      <alignment horizontal="center" vertical="center"/>
    </xf>
    <xf numFmtId="0" fontId="13" fillId="2" borderId="28" xfId="1" applyFont="1" applyBorder="1" applyAlignment="1">
      <alignment horizontal="center" vertical="center"/>
    </xf>
    <xf numFmtId="0" fontId="14" fillId="7" borderId="31" xfId="6" applyFont="1" applyBorder="1" applyAlignment="1">
      <alignment horizontal="center" vertical="center"/>
    </xf>
    <xf numFmtId="0" fontId="14" fillId="7" borderId="32" xfId="6" applyFont="1" applyBorder="1" applyAlignment="1">
      <alignment horizontal="center" vertical="center"/>
    </xf>
    <xf numFmtId="0" fontId="14" fillId="7" borderId="28" xfId="6" applyFont="1" applyBorder="1" applyAlignment="1">
      <alignment horizontal="center" vertical="center"/>
    </xf>
    <xf numFmtId="0" fontId="14" fillId="7" borderId="27" xfId="6" applyFont="1" applyBorder="1" applyAlignment="1">
      <alignment horizontal="center" vertical="center"/>
    </xf>
    <xf numFmtId="0" fontId="18" fillId="13" borderId="31" xfId="0" applyFont="1" applyFill="1" applyBorder="1" applyAlignment="1">
      <alignment horizontal="left"/>
    </xf>
    <xf numFmtId="0" fontId="18" fillId="13" borderId="32" xfId="0" applyFont="1" applyFill="1" applyBorder="1" applyAlignment="1">
      <alignment horizontal="left"/>
    </xf>
    <xf numFmtId="0" fontId="18" fillId="13" borderId="28" xfId="0" applyFont="1" applyFill="1" applyBorder="1" applyAlignment="1">
      <alignment horizontal="left"/>
    </xf>
    <xf numFmtId="0" fontId="18" fillId="13" borderId="31" xfId="0" applyFont="1" applyFill="1" applyBorder="1" applyAlignment="1">
      <alignment horizontal="center"/>
    </xf>
    <xf numFmtId="0" fontId="18" fillId="13" borderId="32" xfId="0" applyFont="1" applyFill="1" applyBorder="1" applyAlignment="1">
      <alignment horizontal="center"/>
    </xf>
    <xf numFmtId="0" fontId="18" fillId="13" borderId="2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8" fillId="10" borderId="51" xfId="0" applyFont="1" applyFill="1" applyBorder="1" applyAlignment="1">
      <alignment horizontal="center"/>
    </xf>
    <xf numFmtId="0" fontId="18" fillId="10" borderId="52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13" borderId="62" xfId="0" applyFont="1" applyFill="1" applyBorder="1" applyAlignment="1">
      <alignment horizontal="center"/>
    </xf>
    <xf numFmtId="0" fontId="18" fillId="13" borderId="50" xfId="0" applyFont="1" applyFill="1" applyBorder="1" applyAlignment="1">
      <alignment horizontal="center"/>
    </xf>
    <xf numFmtId="0" fontId="18" fillId="13" borderId="51" xfId="0" applyFont="1" applyFill="1" applyBorder="1" applyAlignment="1">
      <alignment horizontal="center"/>
    </xf>
    <xf numFmtId="0" fontId="18" fillId="13" borderId="52" xfId="0" applyFont="1" applyFill="1" applyBorder="1" applyAlignment="1">
      <alignment horizontal="center"/>
    </xf>
    <xf numFmtId="0" fontId="0" fillId="0" borderId="0" xfId="0"/>
    <xf numFmtId="0" fontId="18" fillId="10" borderId="6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7" fillId="2" borderId="43" xfId="1" applyFont="1" applyBorder="1" applyAlignment="1">
      <alignment horizontal="center"/>
    </xf>
    <xf numFmtId="0" fontId="17" fillId="2" borderId="45" xfId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7" fillId="2" borderId="20" xfId="1" applyFont="1" applyBorder="1" applyAlignment="1">
      <alignment horizontal="center" vertical="center"/>
    </xf>
    <xf numFmtId="0" fontId="17" fillId="2" borderId="2" xfId="1" applyFont="1" applyBorder="1" applyAlignment="1">
      <alignment horizontal="center" vertical="center"/>
    </xf>
    <xf numFmtId="0" fontId="17" fillId="2" borderId="19" xfId="1" applyFont="1" applyBorder="1" applyAlignment="1">
      <alignment horizontal="center" vertical="center"/>
    </xf>
    <xf numFmtId="0" fontId="17" fillId="2" borderId="43" xfId="1" applyFont="1" applyBorder="1" applyAlignment="1">
      <alignment horizontal="center" vertical="center"/>
    </xf>
    <xf numFmtId="0" fontId="17" fillId="2" borderId="44" xfId="1" applyFont="1" applyBorder="1" applyAlignment="1">
      <alignment horizontal="center" vertical="center"/>
    </xf>
    <xf numFmtId="0" fontId="17" fillId="2" borderId="45" xfId="1" applyFont="1" applyBorder="1" applyAlignment="1">
      <alignment horizontal="center" vertical="center"/>
    </xf>
    <xf numFmtId="164" fontId="16" fillId="9" borderId="18" xfId="8" applyFont="1" applyBorder="1">
      <alignment horizontal="center" vertical="center"/>
    </xf>
    <xf numFmtId="164" fontId="16" fillId="9" borderId="1" xfId="8" applyFont="1" applyBorder="1">
      <alignment horizontal="center" vertical="center"/>
    </xf>
    <xf numFmtId="164" fontId="16" fillId="9" borderId="17" xfId="8" applyFont="1" applyBorder="1">
      <alignment horizontal="center" vertical="center"/>
    </xf>
    <xf numFmtId="0" fontId="5" fillId="5" borderId="22" xfId="4" applyFont="1" applyBorder="1" applyAlignment="1">
      <alignment horizontal="center" vertical="center"/>
    </xf>
    <xf numFmtId="0" fontId="5" fillId="5" borderId="3" xfId="4" applyFont="1" applyBorder="1" applyAlignment="1">
      <alignment horizontal="center" vertical="center"/>
    </xf>
    <xf numFmtId="0" fontId="5" fillId="5" borderId="21" xfId="4" applyFont="1" applyBorder="1" applyAlignment="1">
      <alignment horizontal="center" vertical="center"/>
    </xf>
    <xf numFmtId="0" fontId="5" fillId="5" borderId="18" xfId="4" applyFont="1" applyBorder="1" applyAlignment="1">
      <alignment horizontal="center" vertical="center"/>
    </xf>
    <xf numFmtId="0" fontId="5" fillId="5" borderId="1" xfId="4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0" xfId="0" applyFont="1"/>
    <xf numFmtId="0" fontId="16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2" borderId="4" xfId="1" applyFont="1" applyBorder="1" applyAlignment="1">
      <alignment horizontal="center"/>
    </xf>
    <xf numFmtId="0" fontId="17" fillId="2" borderId="5" xfId="1" applyFont="1" applyBorder="1" applyAlignment="1">
      <alignment horizontal="center"/>
    </xf>
    <xf numFmtId="0" fontId="17" fillId="2" borderId="6" xfId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2" borderId="35" xfId="1" applyFont="1" applyBorder="1" applyAlignment="1">
      <alignment horizontal="center"/>
    </xf>
    <xf numFmtId="0" fontId="17" fillId="2" borderId="39" xfId="1" applyFont="1" applyBorder="1" applyAlignment="1">
      <alignment horizontal="center"/>
    </xf>
    <xf numFmtId="0" fontId="17" fillId="2" borderId="36" xfId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7" fillId="2" borderId="1" xfId="1" applyFont="1" applyAlignment="1">
      <alignment horizontal="center"/>
    </xf>
    <xf numFmtId="0" fontId="5" fillId="5" borderId="1" xfId="4" applyFont="1" applyAlignment="1">
      <alignment horizontal="center"/>
    </xf>
    <xf numFmtId="164" fontId="16" fillId="9" borderId="1" xfId="8" applyFont="1">
      <alignment horizontal="center" vertical="center"/>
    </xf>
    <xf numFmtId="43" fontId="17" fillId="2" borderId="1" xfId="1" applyNumberFormat="1" applyFont="1" applyAlignment="1">
      <alignment horizontal="center" vertical="center"/>
    </xf>
    <xf numFmtId="164" fontId="5" fillId="5" borderId="1" xfId="4" applyNumberFormat="1" applyFont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center"/>
    </xf>
    <xf numFmtId="164" fontId="2" fillId="9" borderId="57" xfId="8" applyBorder="1" applyAlignment="1">
      <alignment horizontal="left" vertical="center"/>
    </xf>
    <xf numFmtId="164" fontId="2" fillId="9" borderId="47" xfId="8" applyBorder="1" applyAlignment="1">
      <alignment horizontal="left" vertical="center"/>
    </xf>
    <xf numFmtId="164" fontId="2" fillId="9" borderId="53" xfId="8" applyBorder="1" applyAlignment="1">
      <alignment horizontal="left" vertical="center"/>
    </xf>
    <xf numFmtId="0" fontId="0" fillId="12" borderId="31" xfId="0" applyFont="1" applyFill="1" applyBorder="1" applyAlignment="1">
      <alignment horizontal="center"/>
    </xf>
    <xf numFmtId="0" fontId="0" fillId="12" borderId="28" xfId="0" applyFont="1" applyFill="1" applyBorder="1" applyAlignment="1">
      <alignment horizontal="center"/>
    </xf>
    <xf numFmtId="164" fontId="2" fillId="9" borderId="1" xfId="8">
      <alignment horizontal="center" vertical="center"/>
    </xf>
    <xf numFmtId="164" fontId="2" fillId="9" borderId="60" xfId="8" applyBorder="1">
      <alignment horizontal="center" vertical="center"/>
    </xf>
    <xf numFmtId="164" fontId="2" fillId="9" borderId="12" xfId="8" applyBorder="1">
      <alignment horizontal="center" vertical="center"/>
    </xf>
    <xf numFmtId="164" fontId="2" fillId="9" borderId="61" xfId="8" applyBorder="1">
      <alignment horizontal="center" vertical="center"/>
    </xf>
    <xf numFmtId="0" fontId="0" fillId="12" borderId="32" xfId="0" applyFont="1" applyFill="1" applyBorder="1" applyAlignment="1">
      <alignment horizontal="center"/>
    </xf>
    <xf numFmtId="164" fontId="16" fillId="9" borderId="55" xfId="8" applyFont="1" applyBorder="1" applyAlignment="1">
      <alignment horizontal="left" vertical="center"/>
    </xf>
    <xf numFmtId="164" fontId="16" fillId="9" borderId="53" xfId="8" applyFont="1" applyBorder="1" applyAlignment="1">
      <alignment horizontal="left" vertical="center"/>
    </xf>
    <xf numFmtId="164" fontId="2" fillId="9" borderId="33" xfId="8" applyBorder="1">
      <alignment horizontal="center" vertical="center"/>
    </xf>
    <xf numFmtId="164" fontId="2" fillId="9" borderId="1" xfId="8" applyBorder="1">
      <alignment horizontal="center" vertical="center"/>
    </xf>
    <xf numFmtId="0" fontId="18" fillId="11" borderId="31" xfId="0" applyFont="1" applyFill="1" applyBorder="1" applyAlignment="1">
      <alignment horizontal="center"/>
    </xf>
    <xf numFmtId="0" fontId="18" fillId="11" borderId="32" xfId="0" applyFont="1" applyFill="1" applyBorder="1" applyAlignment="1">
      <alignment horizontal="center"/>
    </xf>
    <xf numFmtId="0" fontId="18" fillId="11" borderId="28" xfId="0" applyFont="1" applyFill="1" applyBorder="1" applyAlignment="1">
      <alignment horizontal="center"/>
    </xf>
    <xf numFmtId="0" fontId="0" fillId="12" borderId="27" xfId="0" applyFont="1" applyFill="1" applyBorder="1" applyAlignment="1">
      <alignment horizontal="center"/>
    </xf>
    <xf numFmtId="0" fontId="5" fillId="5" borderId="1" xfId="4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0" fontId="1" fillId="2" borderId="16" xfId="1" applyFont="1" applyBorder="1" applyAlignment="1">
      <alignment horizontal="center"/>
    </xf>
    <xf numFmtId="0" fontId="1" fillId="2" borderId="23" xfId="1" applyFont="1" applyBorder="1" applyAlignment="1">
      <alignment horizontal="center"/>
    </xf>
    <xf numFmtId="0" fontId="1" fillId="2" borderId="15" xfId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9">
    <cellStyle name="20 % – uthevingsfarge 6" xfId="7" builtinId="50"/>
    <cellStyle name="60 % – uthevingsfarge 1" xfId="5" builtinId="32"/>
    <cellStyle name="Beregning" xfId="4" builtinId="22"/>
    <cellStyle name="Formula-derived data" xfId="8" xr:uid="{E151CAF1-98AC-4DF5-A636-916AAAFFE61A}"/>
    <cellStyle name="God" xfId="2" builtinId="26"/>
    <cellStyle name="Inndata" xfId="1" builtinId="20"/>
    <cellStyle name="Normal" xfId="0" builtinId="0"/>
    <cellStyle name="Nøytral" xfId="3" builtinId="28"/>
    <cellStyle name="Uthevingsfarge6" xfId="6" builtinId="49"/>
  </cellStyles>
  <dxfs count="12">
    <dxf>
      <font>
        <strike val="0"/>
        <outline val="0"/>
        <shadow val="0"/>
        <u val="none"/>
        <vertAlign val="baseline"/>
        <name val="Cambr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mbr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mbr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mbr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mbr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mbr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mbr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mbra"/>
        <scheme val="none"/>
      </font>
      <numFmt numFmtId="27" formatCode="dd/mm/yyyy\ hh:mm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mbr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mbr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mbr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mbra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999999"/>
      <color rgb="FF6FBE45"/>
      <color rgb="FF231F20"/>
      <color rgb="FFC2CEC6"/>
      <color rgb="FFF7E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Hydrogen consumption</a:t>
            </a:r>
            <a:r>
              <a:rPr lang="nb-NO" baseline="0"/>
              <a:t> worldwide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CB-476B-A58C-1DA2AC07A4EE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CB-476B-A58C-1DA2AC07A4EE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CB-476B-A58C-1DA2AC07A4EE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CB-476B-A58C-1DA2AC07A4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'Hydrogen prod con'!$B$7:$E$7</c:f>
              <c:strCache>
                <c:ptCount val="4"/>
                <c:pt idx="0">
                  <c:v>Ammonia prod.</c:v>
                </c:pt>
                <c:pt idx="1">
                  <c:v>Refining</c:v>
                </c:pt>
                <c:pt idx="2">
                  <c:v>Methanol prod.</c:v>
                </c:pt>
                <c:pt idx="3">
                  <c:v>Other</c:v>
                </c:pt>
              </c:strCache>
            </c:strRef>
          </c:cat>
          <c:val>
            <c:numRef>
              <c:f>'Hydrogen prod con'!$B$8:$E$8</c:f>
              <c:numCache>
                <c:formatCode>General</c:formatCode>
                <c:ptCount val="4"/>
                <c:pt idx="0">
                  <c:v>0.55000000000000004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CB-476B-A58C-1DA2AC07A4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Hydrogen production</a:t>
            </a:r>
            <a:r>
              <a:rPr lang="nb-NO" baseline="0"/>
              <a:t> worldwide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3A-4D1B-922B-B5DE12C05265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3A-4D1B-922B-B5DE12C05265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3A-4D1B-922B-B5DE12C05265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3A-4D1B-922B-B5DE12C05265}"/>
              </c:ext>
            </c:extLst>
          </c:dPt>
          <c:dLbls>
            <c:dLbl>
              <c:idx val="3"/>
              <c:layout>
                <c:manualLayout>
                  <c:x val="-2.7777777777777779E-3"/>
                  <c:y val="-4.62962962962962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3A-4D1B-922B-B5DE12C052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'Hydrogen prod con'!$B$3:$E$3</c:f>
              <c:strCache>
                <c:ptCount val="4"/>
                <c:pt idx="0">
                  <c:v>Natural Gas</c:v>
                </c:pt>
                <c:pt idx="1">
                  <c:v>Oil</c:v>
                </c:pt>
                <c:pt idx="2">
                  <c:v>Coal</c:v>
                </c:pt>
                <c:pt idx="3">
                  <c:v>Electrolysis</c:v>
                </c:pt>
              </c:strCache>
            </c:strRef>
          </c:cat>
          <c:val>
            <c:numRef>
              <c:f>'Hydrogen prod con'!$B$4:$E$4</c:f>
              <c:numCache>
                <c:formatCode>0.000</c:formatCode>
                <c:ptCount val="4"/>
                <c:pt idx="0">
                  <c:v>0.48</c:v>
                </c:pt>
                <c:pt idx="1">
                  <c:v>0.3</c:v>
                </c:pt>
                <c:pt idx="2">
                  <c:v>0.18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3A-4D1B-922B-B5DE12C0526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nb-NO">
                <a:latin typeface="Cambria" panose="02040503050406030204" pitchFamily="18" charset="0"/>
                <a:ea typeface="Cambria" panose="02040503050406030204" pitchFamily="18" charset="0"/>
              </a:rPr>
              <a:t>€/kg</a:t>
            </a:r>
            <a:r>
              <a:rPr lang="nb-NO" baseline="0">
                <a:latin typeface="Cambria" panose="02040503050406030204" pitchFamily="18" charset="0"/>
                <a:ea typeface="Cambria" panose="02040503050406030204" pitchFamily="18" charset="0"/>
              </a:rPr>
              <a:t> hydrogen</a:t>
            </a:r>
            <a:endParaRPr lang="nb-NO"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'Cost and emission analysis'!$D$25</c:f>
              <c:strCache>
                <c:ptCount val="1"/>
                <c:pt idx="0">
                  <c:v>Cost of electricity €/kg</c:v>
                </c:pt>
              </c:strCache>
            </c:strRef>
          </c:tx>
          <c:spPr>
            <a:solidFill>
              <a:srgbClr val="6FBE45"/>
            </a:solidFill>
            <a:ln>
              <a:noFill/>
            </a:ln>
            <a:effectLst/>
          </c:spPr>
          <c:invertIfNegative val="0"/>
          <c:cat>
            <c:strRef>
              <c:f>'Cost and emission analysis'!$E$24:$L$24</c:f>
              <c:strCache>
                <c:ptCount val="8"/>
                <c:pt idx="0">
                  <c:v>AEC low</c:v>
                </c:pt>
                <c:pt idx="1">
                  <c:v>AEC high</c:v>
                </c:pt>
                <c:pt idx="2">
                  <c:v>PEMEC low</c:v>
                </c:pt>
                <c:pt idx="3">
                  <c:v>PEMEC high</c:v>
                </c:pt>
                <c:pt idx="4">
                  <c:v>AEC low 2030</c:v>
                </c:pt>
                <c:pt idx="5">
                  <c:v>AEC high 2030</c:v>
                </c:pt>
                <c:pt idx="6">
                  <c:v>PEMEC low 2030</c:v>
                </c:pt>
                <c:pt idx="7">
                  <c:v>PEMEC high 2030</c:v>
                </c:pt>
              </c:strCache>
            </c:strRef>
          </c:cat>
          <c:val>
            <c:numRef>
              <c:f>'Cost and emission analysis'!$E$25:$L$25</c:f>
              <c:numCache>
                <c:formatCode>0.000</c:formatCode>
                <c:ptCount val="8"/>
                <c:pt idx="0">
                  <c:v>1.6117973307074054</c:v>
                </c:pt>
                <c:pt idx="1">
                  <c:v>1.8804302191586393</c:v>
                </c:pt>
                <c:pt idx="2">
                  <c:v>1.6117973307074054</c:v>
                </c:pt>
                <c:pt idx="3">
                  <c:v>1.8804302191586393</c:v>
                </c:pt>
                <c:pt idx="4">
                  <c:v>1.8203828676224811</c:v>
                </c:pt>
                <c:pt idx="5">
                  <c:v>2.123780012226228</c:v>
                </c:pt>
                <c:pt idx="6">
                  <c:v>1.8203828676224811</c:v>
                </c:pt>
                <c:pt idx="7">
                  <c:v>2.123780012226228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F-4903-832F-4725F04729CB}"/>
            </c:ext>
          </c:extLst>
        </c:ser>
        <c:ser>
          <c:idx val="1"/>
          <c:order val="1"/>
          <c:tx>
            <c:strRef>
              <c:f>'Cost and emission analysis'!$D$26</c:f>
              <c:strCache>
                <c:ptCount val="1"/>
                <c:pt idx="0">
                  <c:v>Cost of electrolyser €/kg</c:v>
                </c:pt>
              </c:strCache>
            </c:strRef>
          </c:tx>
          <c:spPr>
            <a:solidFill>
              <a:srgbClr val="999999"/>
            </a:solidFill>
            <a:ln>
              <a:noFill/>
            </a:ln>
            <a:effectLst/>
          </c:spPr>
          <c:invertIfNegative val="0"/>
          <c:cat>
            <c:strRef>
              <c:f>'Cost and emission analysis'!$E$24:$L$24</c:f>
              <c:strCache>
                <c:ptCount val="8"/>
                <c:pt idx="0">
                  <c:v>AEC low</c:v>
                </c:pt>
                <c:pt idx="1">
                  <c:v>AEC high</c:v>
                </c:pt>
                <c:pt idx="2">
                  <c:v>PEMEC low</c:v>
                </c:pt>
                <c:pt idx="3">
                  <c:v>PEMEC high</c:v>
                </c:pt>
                <c:pt idx="4">
                  <c:v>AEC low 2030</c:v>
                </c:pt>
                <c:pt idx="5">
                  <c:v>AEC high 2030</c:v>
                </c:pt>
                <c:pt idx="6">
                  <c:v>PEMEC low 2030</c:v>
                </c:pt>
                <c:pt idx="7">
                  <c:v>PEMEC high 2030</c:v>
                </c:pt>
              </c:strCache>
            </c:strRef>
          </c:cat>
          <c:val>
            <c:numRef>
              <c:f>'Cost and emission analysis'!$E$26:$L$26</c:f>
              <c:numCache>
                <c:formatCode>0.000</c:formatCode>
                <c:ptCount val="8"/>
                <c:pt idx="0">
                  <c:v>0.73750214812069625</c:v>
                </c:pt>
                <c:pt idx="1">
                  <c:v>1.1634506521017534</c:v>
                </c:pt>
                <c:pt idx="2">
                  <c:v>1.1873082805874522</c:v>
                </c:pt>
                <c:pt idx="3">
                  <c:v>2.0462211820239111</c:v>
                </c:pt>
                <c:pt idx="4">
                  <c:v>0.57612980655102308</c:v>
                </c:pt>
                <c:pt idx="5">
                  <c:v>1.0179710411412146</c:v>
                </c:pt>
                <c:pt idx="6">
                  <c:v>0.42445721134899728</c:v>
                </c:pt>
                <c:pt idx="7">
                  <c:v>0.73690468337906267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9F-4903-832F-4725F0472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39845184"/>
        <c:axId val="739849344"/>
      </c:barChart>
      <c:catAx>
        <c:axId val="73984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nb-NO"/>
          </a:p>
        </c:txPr>
        <c:crossAx val="739849344"/>
        <c:crosses val="autoZero"/>
        <c:auto val="1"/>
        <c:lblAlgn val="ctr"/>
        <c:lblOffset val="100"/>
        <c:noMultiLvlLbl val="0"/>
      </c:catAx>
      <c:valAx>
        <c:axId val="73984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nb-NO"/>
          </a:p>
        </c:txPr>
        <c:crossAx val="73984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nb-NO">
                <a:latin typeface="Cambria" panose="02040503050406030204" pitchFamily="18" charset="0"/>
                <a:ea typeface="Cambria" panose="02040503050406030204" pitchFamily="18" charset="0"/>
              </a:rPr>
              <a:t>€/kg</a:t>
            </a:r>
            <a:r>
              <a:rPr lang="nb-NO" baseline="0">
                <a:latin typeface="Cambria" panose="02040503050406030204" pitchFamily="18" charset="0"/>
                <a:ea typeface="Cambria" panose="02040503050406030204" pitchFamily="18" charset="0"/>
              </a:rPr>
              <a:t> a</a:t>
            </a:r>
            <a:r>
              <a:rPr lang="nb-NO">
                <a:latin typeface="Cambria" panose="02040503050406030204" pitchFamily="18" charset="0"/>
                <a:ea typeface="Cambria" panose="02040503050406030204" pitchFamily="18" charset="0"/>
              </a:rPr>
              <a:t>dded cost</a:t>
            </a:r>
            <a:r>
              <a:rPr lang="nb-NO" baseline="0">
                <a:latin typeface="Cambria" panose="02040503050406030204" pitchFamily="18" charset="0"/>
                <a:ea typeface="Cambria" panose="02040503050406030204" pitchFamily="18" charset="0"/>
              </a:rPr>
              <a:t> of hydrogen carriers</a:t>
            </a:r>
            <a:endParaRPr lang="nb-NO"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and emission analysis'!$D$50</c:f>
              <c:strCache>
                <c:ptCount val="1"/>
                <c:pt idx="0">
                  <c:v>L-H2 [€/kg_H2]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'Cost and emission analysis'!$E$50</c:f>
              <c:numCache>
                <c:formatCode>0.000</c:formatCode>
                <c:ptCount val="1"/>
                <c:pt idx="0">
                  <c:v>2.0137210658996629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0-46B3-8BFD-4E7B20B8B3FB}"/>
            </c:ext>
          </c:extLst>
        </c:ser>
        <c:ser>
          <c:idx val="1"/>
          <c:order val="1"/>
          <c:tx>
            <c:strRef>
              <c:f>'Cost and emission analysis'!$D$61</c:f>
              <c:strCache>
                <c:ptCount val="1"/>
                <c:pt idx="0">
                  <c:v>NH3 [€/kg_H2]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'Cost and emission analysis'!$E$61</c:f>
              <c:numCache>
                <c:formatCode>0.000</c:formatCode>
                <c:ptCount val="1"/>
                <c:pt idx="0">
                  <c:v>0.88551242252222084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0-46B3-8BFD-4E7B20B8B3FB}"/>
            </c:ext>
          </c:extLst>
        </c:ser>
        <c:ser>
          <c:idx val="2"/>
          <c:order val="2"/>
          <c:tx>
            <c:strRef>
              <c:f>'Cost and emission analysis'!$D$70</c:f>
              <c:strCache>
                <c:ptCount val="1"/>
                <c:pt idx="0">
                  <c:v>DBT [€/kg_H2]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'Cost and emission analysis'!$E$70</c:f>
              <c:numCache>
                <c:formatCode>General</c:formatCode>
                <c:ptCount val="1"/>
                <c:pt idx="0">
                  <c:v>2.3128516911181745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90-46B3-8BFD-4E7B20B8B3FB}"/>
            </c:ext>
          </c:extLst>
        </c:ser>
        <c:ser>
          <c:idx val="3"/>
          <c:order val="3"/>
          <c:tx>
            <c:strRef>
              <c:f>'Cost and emission analysis'!$D$79</c:f>
              <c:strCache>
                <c:ptCount val="1"/>
                <c:pt idx="0">
                  <c:v>Toluene [€/kg_H2]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'Cost and emission analysis'!$E$79</c:f>
              <c:numCache>
                <c:formatCode>General</c:formatCode>
                <c:ptCount val="1"/>
                <c:pt idx="0">
                  <c:v>1.0660269036279233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90-46B3-8BFD-4E7B20B8B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8403311"/>
        <c:axId val="868393743"/>
      </c:barChart>
      <c:catAx>
        <c:axId val="8684033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68393743"/>
        <c:crosses val="autoZero"/>
        <c:auto val="1"/>
        <c:lblAlgn val="ctr"/>
        <c:lblOffset val="100"/>
        <c:noMultiLvlLbl val="0"/>
      </c:catAx>
      <c:valAx>
        <c:axId val="86839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nb-NO"/>
          </a:p>
        </c:txPr>
        <c:crossAx val="868403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nb-NO">
                <a:latin typeface="Cambria" panose="02040503050406030204" pitchFamily="18" charset="0"/>
                <a:ea typeface="Cambria" panose="02040503050406030204" pitchFamily="18" charset="0"/>
              </a:rPr>
              <a:t>€/kg</a:t>
            </a:r>
            <a:r>
              <a:rPr lang="nb-NO" baseline="0">
                <a:latin typeface="Cambria" panose="02040503050406030204" pitchFamily="18" charset="0"/>
                <a:ea typeface="Cambria" panose="02040503050406030204" pitchFamily="18" charset="0"/>
              </a:rPr>
              <a:t> total cost of hydrogen carrier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'Cost and emission analysis'!$D$104</c:f>
              <c:strCache>
                <c:ptCount val="1"/>
                <c:pt idx="0">
                  <c:v>Cost of electrolysis [€/kg]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'Cost and emission analysis'!$E$103:$L$103</c:f>
              <c:strCache>
                <c:ptCount val="8"/>
                <c:pt idx="0">
                  <c:v>L-H2 low</c:v>
                </c:pt>
                <c:pt idx="1">
                  <c:v>NH3 low</c:v>
                </c:pt>
                <c:pt idx="2">
                  <c:v>DBT_low</c:v>
                </c:pt>
                <c:pt idx="3">
                  <c:v>Toluene low</c:v>
                </c:pt>
                <c:pt idx="4">
                  <c:v>L-H2_ high</c:v>
                </c:pt>
                <c:pt idx="5">
                  <c:v>NH3_high</c:v>
                </c:pt>
                <c:pt idx="6">
                  <c:v>DBT_high</c:v>
                </c:pt>
                <c:pt idx="7">
                  <c:v>Toluene_high</c:v>
                </c:pt>
              </c:strCache>
            </c:strRef>
          </c:cat>
          <c:val>
            <c:numRef>
              <c:f>'Cost and emission analysis'!$E$104:$L$104</c:f>
              <c:numCache>
                <c:formatCode>0.000</c:formatCode>
                <c:ptCount val="8"/>
                <c:pt idx="0">
                  <c:v>2.3492994788281019</c:v>
                </c:pt>
                <c:pt idx="1">
                  <c:v>2.3492994788281019</c:v>
                </c:pt>
                <c:pt idx="2">
                  <c:v>2.3492994788281019</c:v>
                </c:pt>
                <c:pt idx="3">
                  <c:v>2.3492994788281019</c:v>
                </c:pt>
                <c:pt idx="4">
                  <c:v>3.9266514011825504</c:v>
                </c:pt>
                <c:pt idx="5">
                  <c:v>3.9266514011825504</c:v>
                </c:pt>
                <c:pt idx="6">
                  <c:v>3.9266514011825504</c:v>
                </c:pt>
                <c:pt idx="7">
                  <c:v>3.9266514011825504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C-4F48-A510-E7ABA18FC5EE}"/>
            </c:ext>
          </c:extLst>
        </c:ser>
        <c:ser>
          <c:idx val="1"/>
          <c:order val="1"/>
          <c:tx>
            <c:strRef>
              <c:f>'Cost and emission analysis'!$D$105</c:f>
              <c:strCache>
                <c:ptCount val="1"/>
                <c:pt idx="0">
                  <c:v>Cost of reforming [€/kg]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'Cost and emission analysis'!$E$103:$L$103</c:f>
              <c:strCache>
                <c:ptCount val="8"/>
                <c:pt idx="0">
                  <c:v>L-H2 low</c:v>
                </c:pt>
                <c:pt idx="1">
                  <c:v>NH3 low</c:v>
                </c:pt>
                <c:pt idx="2">
                  <c:v>DBT_low</c:v>
                </c:pt>
                <c:pt idx="3">
                  <c:v>Toluene low</c:v>
                </c:pt>
                <c:pt idx="4">
                  <c:v>L-H2_ high</c:v>
                </c:pt>
                <c:pt idx="5">
                  <c:v>NH3_high</c:v>
                </c:pt>
                <c:pt idx="6">
                  <c:v>DBT_high</c:v>
                </c:pt>
                <c:pt idx="7">
                  <c:v>Toluene_high</c:v>
                </c:pt>
              </c:strCache>
            </c:strRef>
          </c:cat>
          <c:val>
            <c:numRef>
              <c:f>'Cost and emission analysis'!$E$105:$L$105</c:f>
              <c:numCache>
                <c:formatCode>0.000</c:formatCode>
                <c:ptCount val="8"/>
                <c:pt idx="0">
                  <c:v>2.0137210658996629</c:v>
                </c:pt>
                <c:pt idx="1">
                  <c:v>0.88551242252222084</c:v>
                </c:pt>
                <c:pt idx="2">
                  <c:v>2.3128516911181745</c:v>
                </c:pt>
                <c:pt idx="3">
                  <c:v>1.0660269036279233</c:v>
                </c:pt>
                <c:pt idx="4">
                  <c:v>2.0137210658996629</c:v>
                </c:pt>
                <c:pt idx="5">
                  <c:v>0.88551242252222084</c:v>
                </c:pt>
                <c:pt idx="6">
                  <c:v>2.3128516911181745</c:v>
                </c:pt>
                <c:pt idx="7">
                  <c:v>1.0660269036279233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C-4F48-A510-E7ABA18FC5EE}"/>
            </c:ext>
          </c:extLst>
        </c:ser>
        <c:ser>
          <c:idx val="2"/>
          <c:order val="2"/>
          <c:tx>
            <c:strRef>
              <c:f>'Cost and emission analysis'!$D$106</c:f>
              <c:strCache>
                <c:ptCount val="1"/>
                <c:pt idx="0">
                  <c:v>Cost of transport [€/kg]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'Cost and emission analysis'!$E$103:$L$103</c:f>
              <c:strCache>
                <c:ptCount val="8"/>
                <c:pt idx="0">
                  <c:v>L-H2 low</c:v>
                </c:pt>
                <c:pt idx="1">
                  <c:v>NH3 low</c:v>
                </c:pt>
                <c:pt idx="2">
                  <c:v>DBT_low</c:v>
                </c:pt>
                <c:pt idx="3">
                  <c:v>Toluene low</c:v>
                </c:pt>
                <c:pt idx="4">
                  <c:v>L-H2_ high</c:v>
                </c:pt>
                <c:pt idx="5">
                  <c:v>NH3_high</c:v>
                </c:pt>
                <c:pt idx="6">
                  <c:v>DBT_high</c:v>
                </c:pt>
                <c:pt idx="7">
                  <c:v>Toluene_high</c:v>
                </c:pt>
              </c:strCache>
            </c:strRef>
          </c:cat>
          <c:val>
            <c:numRef>
              <c:f>'Cost and emission analysis'!$E$106:$L$106</c:f>
              <c:numCache>
                <c:formatCode>0.000</c:formatCode>
                <c:ptCount val="8"/>
                <c:pt idx="0">
                  <c:v>0.65417987617981677</c:v>
                </c:pt>
                <c:pt idx="1">
                  <c:v>0.47979441558435076</c:v>
                </c:pt>
                <c:pt idx="2">
                  <c:v>0.47401206755591302</c:v>
                </c:pt>
                <c:pt idx="3">
                  <c:v>0.47401206755591302</c:v>
                </c:pt>
                <c:pt idx="4">
                  <c:v>0.65417987617981677</c:v>
                </c:pt>
                <c:pt idx="5">
                  <c:v>0.47979441558435076</c:v>
                </c:pt>
                <c:pt idx="6">
                  <c:v>0.47401206755591302</c:v>
                </c:pt>
                <c:pt idx="7">
                  <c:v>0.47401206755591302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AC-4F48-A510-E7ABA18FC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77200"/>
        <c:axId val="13574704"/>
      </c:barChart>
      <c:catAx>
        <c:axId val="1357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nb-NO"/>
          </a:p>
        </c:txPr>
        <c:crossAx val="13574704"/>
        <c:crosses val="autoZero"/>
        <c:auto val="1"/>
        <c:lblAlgn val="ctr"/>
        <c:lblOffset val="100"/>
        <c:noMultiLvlLbl val="0"/>
      </c:catAx>
      <c:valAx>
        <c:axId val="1357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nb-NO"/>
          </a:p>
        </c:txPr>
        <c:crossAx val="1357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nb-NO" sz="1600" b="1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Energy density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NH3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7882353008422374E-3"/>
                  <c:y val="-1.1389753147062799E-1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1B9-4216-A921-139D8ADB7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'Thermodynamic data'!$E$19</c:f>
              <c:numCache>
                <c:formatCode>0.000</c:formatCode>
                <c:ptCount val="1"/>
                <c:pt idx="0">
                  <c:v>5.2222222222222223</c:v>
                </c:pt>
              </c:numCache>
            </c:numRef>
          </c:xVal>
          <c:yVal>
            <c:numRef>
              <c:f>'Thermodynamic data'!$E$20</c:f>
              <c:numCache>
                <c:formatCode>0</c:formatCode>
                <c:ptCount val="1"/>
                <c:pt idx="0">
                  <c:v>3561.4511111111115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1B9-4216-A921-139D8ADB7C12}"/>
            </c:ext>
          </c:extLst>
        </c:ser>
        <c:ser>
          <c:idx val="1"/>
          <c:order val="1"/>
          <c:tx>
            <c:v>CG-H2(at)350 bar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0535750488806522"/>
                  <c:y val="-1.1389753147062799E-1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1B9-4216-A921-139D8ADB7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'Thermodynamic data'!$B$10</c:f>
              <c:numCache>
                <c:formatCode>0</c:formatCode>
                <c:ptCount val="1"/>
                <c:pt idx="0">
                  <c:v>33.316798941798943</c:v>
                </c:pt>
              </c:numCache>
            </c:numRef>
          </c:xVal>
          <c:yVal>
            <c:numRef>
              <c:f>'Thermodynamic data'!$B$19</c:f>
              <c:numCache>
                <c:formatCode>0</c:formatCode>
                <c:ptCount val="1"/>
                <c:pt idx="0">
                  <c:v>779.61309523809518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1B9-4216-A921-139D8ADB7C12}"/>
            </c:ext>
          </c:extLst>
        </c:ser>
        <c:ser>
          <c:idx val="2"/>
          <c:order val="2"/>
          <c:tx>
            <c:v>H18-DBT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912605706551635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1B9-4216-A921-139D8ADB7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'Thermodynamic data'!$E$8</c:f>
              <c:numCache>
                <c:formatCode>0.00</c:formatCode>
                <c:ptCount val="1"/>
                <c:pt idx="0">
                  <c:v>1.9569889831448042</c:v>
                </c:pt>
              </c:numCache>
            </c:numRef>
          </c:xVal>
          <c:yVal>
            <c:numRef>
              <c:f>'Thermodynamic data'!$E$9</c:f>
              <c:numCache>
                <c:formatCode>0</c:formatCode>
                <c:ptCount val="1"/>
                <c:pt idx="0">
                  <c:v>1787.5528769841269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1B9-4216-A921-139D8ADB7C12}"/>
            </c:ext>
          </c:extLst>
        </c:ser>
        <c:ser>
          <c:idx val="3"/>
          <c:order val="3"/>
          <c:tx>
            <c:v>LNG(at)4 bar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6566649590514958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1B9-4216-A921-139D8ADB7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'Thermodynamic data'!$H$27</c:f>
              <c:numCache>
                <c:formatCode>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'Thermodynamic data'!$H$28</c:f>
              <c:numCache>
                <c:formatCode>0</c:formatCode>
                <c:ptCount val="1"/>
                <c:pt idx="0">
                  <c:v>5440.2777777777774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1B9-4216-A921-139D8ADB7C12}"/>
            </c:ext>
          </c:extLst>
        </c:ser>
        <c:ser>
          <c:idx val="4"/>
          <c:order val="4"/>
          <c:tx>
            <c:v>CG-H2(at)700 bar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1907845946015698"/>
                  <c:y val="-2.79569897733184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1B9-4216-A921-139D8ADB7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'Thermodynamic data'!$B$10</c:f>
              <c:numCache>
                <c:formatCode>0</c:formatCode>
                <c:ptCount val="1"/>
                <c:pt idx="0">
                  <c:v>33.316798941798943</c:v>
                </c:pt>
              </c:numCache>
            </c:numRef>
          </c:xVal>
          <c:yVal>
            <c:numRef>
              <c:f>'Thermodynamic data'!$B$21</c:f>
              <c:numCache>
                <c:formatCode>0</c:formatCode>
                <c:ptCount val="1"/>
                <c:pt idx="0">
                  <c:v>1302.6868386243386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1B9-4216-A921-139D8ADB7C12}"/>
            </c:ext>
          </c:extLst>
        </c:ser>
        <c:ser>
          <c:idx val="5"/>
          <c:order val="5"/>
          <c:tx>
            <c:v>L-H2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1616108564593819"/>
                  <c:y val="-2.79569897733184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1B9-4216-A921-139D8ADB7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'Thermodynamic data'!$B$10</c:f>
              <c:numCache>
                <c:formatCode>0</c:formatCode>
                <c:ptCount val="1"/>
                <c:pt idx="0">
                  <c:v>33.316798941798943</c:v>
                </c:pt>
              </c:numCache>
            </c:numRef>
          </c:xVal>
          <c:yVal>
            <c:numRef>
              <c:f>'Thermodynamic data'!$B$23</c:f>
              <c:numCache>
                <c:formatCode>0</c:formatCode>
                <c:ptCount val="1"/>
                <c:pt idx="0">
                  <c:v>2362.1610449735454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1B9-4216-A921-139D8ADB7C12}"/>
            </c:ext>
          </c:extLst>
        </c:ser>
        <c:ser>
          <c:idx val="6"/>
          <c:order val="6"/>
          <c:tx>
            <c:v>MGO (ISO 8217)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3914744323857201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29578234159559"/>
                      <c:h val="7.48626059485527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61B9-4216-A921-139D8ADB7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'Thermodynamic data'!$E$33</c:f>
              <c:numCache>
                <c:formatCode>0</c:formatCode>
                <c:ptCount val="1"/>
                <c:pt idx="0">
                  <c:v>11.132398754254497</c:v>
                </c:pt>
              </c:numCache>
            </c:numRef>
          </c:xVal>
          <c:yVal>
            <c:numRef>
              <c:f>'Thermodynamic data'!$E$34</c:f>
              <c:numCache>
                <c:formatCode>0</c:formatCode>
                <c:ptCount val="1"/>
                <c:pt idx="0">
                  <c:v>11243.722741797043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1B9-4216-A921-139D8ADB7C12}"/>
            </c:ext>
          </c:extLst>
        </c:ser>
        <c:ser>
          <c:idx val="7"/>
          <c:order val="7"/>
          <c:tx>
            <c:v>Methanol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9917692380146799E-2"/>
                  <c:y val="-6.212664394070770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A2-41F4-98F7-92E2F754FD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'Thermodynamic data'!$H$34</c:f>
              <c:numCache>
                <c:formatCode>0</c:formatCode>
                <c:ptCount val="1"/>
                <c:pt idx="0">
                  <c:v>5.5277777777777777</c:v>
                </c:pt>
              </c:numCache>
            </c:numRef>
          </c:xVal>
          <c:yVal>
            <c:numRef>
              <c:f>'Thermodynamic data'!$H$35</c:f>
              <c:numCache>
                <c:formatCode>0</c:formatCode>
                <c:ptCount val="1"/>
                <c:pt idx="0">
                  <c:v>4350.3611111111113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A2-41F4-98F7-92E2F754FD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384955360"/>
        <c:axId val="770673280"/>
      </c:scatterChart>
      <c:valAx>
        <c:axId val="1384955360"/>
        <c:scaling>
          <c:orientation val="minMax"/>
          <c:max val="3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nb-NO" b="1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Gravimetric energy density [kWh/kg]</a:t>
                </a:r>
              </a:p>
            </c:rich>
          </c:tx>
          <c:layout>
            <c:manualLayout>
              <c:xMode val="edge"/>
              <c:yMode val="edge"/>
              <c:x val="0.325961536996491"/>
              <c:y val="0.928988756789598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nb-NO"/>
          </a:p>
        </c:txPr>
        <c:crossAx val="770673280"/>
        <c:crosses val="autoZero"/>
        <c:crossBetween val="midCat"/>
      </c:valAx>
      <c:valAx>
        <c:axId val="7706732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nb-NO" b="1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Volumetric energy density [kWh/m3]</a:t>
                </a:r>
              </a:p>
            </c:rich>
          </c:tx>
          <c:layout>
            <c:manualLayout>
              <c:xMode val="edge"/>
              <c:yMode val="edge"/>
              <c:x val="1.7932827139447802E-2"/>
              <c:y val="0.23306737096430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nb-NO"/>
          </a:p>
        </c:txPr>
        <c:crossAx val="138495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nb-NO" sz="1600" b="1" i="0" baseline="0">
                <a:effectLst/>
              </a:rPr>
              <a:t>Energy density including storage</a:t>
            </a:r>
            <a:endParaRPr lang="nb-NO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NH3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720104095721735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DD-4D2E-B065-3F643F46EF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'Thermodynamic data'!$E$24</c:f>
              <c:numCache>
                <c:formatCode>0</c:formatCode>
                <c:ptCount val="1"/>
                <c:pt idx="0">
                  <c:v>3.4039870833618453</c:v>
                </c:pt>
              </c:numCache>
            </c:numRef>
          </c:xVal>
          <c:yVal>
            <c:numRef>
              <c:f>'Thermodynamic data'!$E$23</c:f>
              <c:numCache>
                <c:formatCode>0</c:formatCode>
                <c:ptCount val="1"/>
                <c:pt idx="0">
                  <c:v>2321.4511111111115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DD-4D2E-B065-3F643F46EFE9}"/>
            </c:ext>
          </c:extLst>
        </c:ser>
        <c:ser>
          <c:idx val="2"/>
          <c:order val="1"/>
          <c:tx>
            <c:v>H18-DBT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1770754770165117E-2"/>
                  <c:y val="3.106332197035385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DD-4D2E-B065-3F643F46EF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'Thermodynamic data'!$E$11</c:f>
              <c:numCache>
                <c:formatCode>0.000</c:formatCode>
                <c:ptCount val="1"/>
                <c:pt idx="0">
                  <c:v>1.7086638662780687</c:v>
                </c:pt>
              </c:numCache>
            </c:numRef>
          </c:xVal>
          <c:yVal>
            <c:numRef>
              <c:f>'Thermodynamic data'!$E$10</c:f>
              <c:numCache>
                <c:formatCode>0</c:formatCode>
                <c:ptCount val="1"/>
                <c:pt idx="0">
                  <c:v>1714.488144091375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6DD-4D2E-B065-3F643F46EFE9}"/>
            </c:ext>
          </c:extLst>
        </c:ser>
        <c:ser>
          <c:idx val="5"/>
          <c:order val="2"/>
          <c:tx>
            <c:v>L-H2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9267398932531285E-2"/>
                  <c:y val="5.6948765735313995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DD-4D2E-B065-3F643F46EF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'Thermodynamic data'!$B$27</c:f>
              <c:numCache>
                <c:formatCode>0</c:formatCode>
                <c:ptCount val="1"/>
                <c:pt idx="0">
                  <c:v>2</c:v>
                </c:pt>
              </c:numCache>
            </c:numRef>
          </c:xVal>
          <c:yVal>
            <c:numRef>
              <c:f>'Thermodynamic data'!$B$26</c:f>
              <c:numCache>
                <c:formatCode>0</c:formatCode>
                <c:ptCount val="1"/>
                <c:pt idx="0">
                  <c:v>1202.1610449735454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6DD-4D2E-B065-3F643F46EFE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1384955360"/>
        <c:axId val="770673280"/>
      </c:scatterChart>
      <c:valAx>
        <c:axId val="1384955360"/>
        <c:scaling>
          <c:orientation val="minMax"/>
          <c:max val="5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nb-NO" b="1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Gravimetric energy density [kWh/kg]</a:t>
                </a:r>
              </a:p>
            </c:rich>
          </c:tx>
          <c:layout>
            <c:manualLayout>
              <c:xMode val="edge"/>
              <c:yMode val="edge"/>
              <c:x val="0.33563925688230783"/>
              <c:y val="0.932095088986633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nb-NO"/>
          </a:p>
        </c:txPr>
        <c:crossAx val="770673280"/>
        <c:crosses val="autoZero"/>
        <c:crossBetween val="midCat"/>
      </c:valAx>
      <c:valAx>
        <c:axId val="7706732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r>
                  <a:rPr lang="nb-NO" b="1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Volumetric energy density [kWh/m3]</a:t>
                </a:r>
              </a:p>
            </c:rich>
          </c:tx>
          <c:layout>
            <c:manualLayout>
              <c:xMode val="edge"/>
              <c:yMode val="edge"/>
              <c:x val="1.7932827139447802E-2"/>
              <c:y val="0.23306737096430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Cambria" panose="02040503050406030204" pitchFamily="18" charset="0"/>
                  <a:ea typeface="Cambria" panose="02040503050406030204" pitchFamily="18" charset="0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nb-NO"/>
          </a:p>
        </c:txPr>
        <c:crossAx val="138495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1"/>
              <a:t>Spesific</a:t>
            </a:r>
            <a:r>
              <a:rPr lang="nb-NO" sz="1400" b="1" baseline="0"/>
              <a:t> heat capacity with relation to temperature for DBT</a:t>
            </a:r>
            <a:endParaRPr lang="nb-NO" sz="1400" b="1"/>
          </a:p>
        </c:rich>
      </c:tx>
      <c:layout>
        <c:manualLayout>
          <c:xMode val="edge"/>
          <c:yMode val="edge"/>
          <c:x val="0.22100855831309549"/>
          <c:y val="3.4108764261088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3405940197015681"/>
          <c:y val="0.12529902052046626"/>
          <c:w val="0.82706061954480481"/>
          <c:h val="0.72844314848261293"/>
        </c:manualLayout>
      </c:layout>
      <c:scatterChart>
        <c:scatterStyle val="smoothMarker"/>
        <c:varyColors val="0"/>
        <c:ser>
          <c:idx val="0"/>
          <c:order val="0"/>
          <c:tx>
            <c:v>Cp_H18-DBT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26180982105754791"/>
                  <c:y val="0.2329153356514957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/>
                      <a:t>Cp_H18-DBT ≈ 0,8574e</a:t>
                    </a:r>
                    <a:r>
                      <a:rPr lang="en-US" sz="1000" baseline="30000"/>
                      <a:t>0,002x</a:t>
                    </a:r>
                    <a:br>
                      <a:rPr lang="en-US" sz="1000" baseline="0"/>
                    </a:br>
                    <a:r>
                      <a:rPr lang="en-US" sz="1000" baseline="0"/>
                      <a:t>R² = 0,9978</a:t>
                    </a:r>
                    <a:endParaRPr lang="en-US" sz="1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'DBT Cp_extrapolated'!$A$4:$A$37</c:f>
              <c:numCache>
                <c:formatCode>General</c:formatCode>
                <c:ptCount val="34"/>
                <c:pt idx="0">
                  <c:v>235.45</c:v>
                </c:pt>
                <c:pt idx="1">
                  <c:v>240.45</c:v>
                </c:pt>
                <c:pt idx="2">
                  <c:v>245.45</c:v>
                </c:pt>
                <c:pt idx="3">
                  <c:v>250.45</c:v>
                </c:pt>
                <c:pt idx="4">
                  <c:v>255.45</c:v>
                </c:pt>
                <c:pt idx="5">
                  <c:v>260.45</c:v>
                </c:pt>
                <c:pt idx="6">
                  <c:v>265.45</c:v>
                </c:pt>
                <c:pt idx="7">
                  <c:v>270.45</c:v>
                </c:pt>
                <c:pt idx="8">
                  <c:v>275.45</c:v>
                </c:pt>
                <c:pt idx="9">
                  <c:v>280.45</c:v>
                </c:pt>
                <c:pt idx="10">
                  <c:v>285.45</c:v>
                </c:pt>
                <c:pt idx="11">
                  <c:v>290.45</c:v>
                </c:pt>
                <c:pt idx="12">
                  <c:v>295.45</c:v>
                </c:pt>
                <c:pt idx="13">
                  <c:v>300.45</c:v>
                </c:pt>
                <c:pt idx="14">
                  <c:v>305.45</c:v>
                </c:pt>
                <c:pt idx="15">
                  <c:v>310.45</c:v>
                </c:pt>
                <c:pt idx="16">
                  <c:v>315.45</c:v>
                </c:pt>
                <c:pt idx="17">
                  <c:v>320.45</c:v>
                </c:pt>
                <c:pt idx="18">
                  <c:v>325.45</c:v>
                </c:pt>
                <c:pt idx="19">
                  <c:v>330.45</c:v>
                </c:pt>
                <c:pt idx="20">
                  <c:v>335.45</c:v>
                </c:pt>
                <c:pt idx="21">
                  <c:v>340.45</c:v>
                </c:pt>
                <c:pt idx="22">
                  <c:v>345.45</c:v>
                </c:pt>
                <c:pt idx="23">
                  <c:v>350.45</c:v>
                </c:pt>
                <c:pt idx="24">
                  <c:v>355.45</c:v>
                </c:pt>
                <c:pt idx="25">
                  <c:v>360.45</c:v>
                </c:pt>
                <c:pt idx="26">
                  <c:v>365.45</c:v>
                </c:pt>
                <c:pt idx="27">
                  <c:v>370.45</c:v>
                </c:pt>
                <c:pt idx="28">
                  <c:v>375.45</c:v>
                </c:pt>
                <c:pt idx="29">
                  <c:v>380.45</c:v>
                </c:pt>
                <c:pt idx="30">
                  <c:v>385.45</c:v>
                </c:pt>
                <c:pt idx="31">
                  <c:v>390.45</c:v>
                </c:pt>
                <c:pt idx="32">
                  <c:v>395.45</c:v>
                </c:pt>
                <c:pt idx="33">
                  <c:v>400.45</c:v>
                </c:pt>
              </c:numCache>
            </c:numRef>
          </c:xVal>
          <c:yVal>
            <c:numRef>
              <c:f>'DBT Cp_extrapolated'!$B$4:$B$37</c:f>
              <c:numCache>
                <c:formatCode>General</c:formatCode>
                <c:ptCount val="34"/>
                <c:pt idx="0">
                  <c:v>1.3751899999999999</c:v>
                </c:pt>
                <c:pt idx="1">
                  <c:v>1.377</c:v>
                </c:pt>
                <c:pt idx="2">
                  <c:v>1.4024799999999999</c:v>
                </c:pt>
                <c:pt idx="3">
                  <c:v>1.4014500000000001</c:v>
                </c:pt>
                <c:pt idx="4">
                  <c:v>1.4168700000000001</c:v>
                </c:pt>
                <c:pt idx="5">
                  <c:v>1.4423999999999999</c:v>
                </c:pt>
                <c:pt idx="6">
                  <c:v>1.4460599999999999</c:v>
                </c:pt>
                <c:pt idx="7">
                  <c:v>1.45661</c:v>
                </c:pt>
                <c:pt idx="8">
                  <c:v>1.48373</c:v>
                </c:pt>
                <c:pt idx="9">
                  <c:v>1.4930699999999999</c:v>
                </c:pt>
                <c:pt idx="10">
                  <c:v>1.50197</c:v>
                </c:pt>
                <c:pt idx="11">
                  <c:v>1.53121</c:v>
                </c:pt>
                <c:pt idx="12">
                  <c:v>1.53047</c:v>
                </c:pt>
                <c:pt idx="13">
                  <c:v>1.54244</c:v>
                </c:pt>
                <c:pt idx="14">
                  <c:v>1.5669599999999999</c:v>
                </c:pt>
                <c:pt idx="15">
                  <c:v>1.58405</c:v>
                </c:pt>
                <c:pt idx="16">
                  <c:v>1.59029</c:v>
                </c:pt>
                <c:pt idx="17">
                  <c:v>1.6061399999999999</c:v>
                </c:pt>
                <c:pt idx="18">
                  <c:v>1.63527</c:v>
                </c:pt>
                <c:pt idx="19">
                  <c:v>1.6396299999999999</c:v>
                </c:pt>
                <c:pt idx="20">
                  <c:v>1.66099</c:v>
                </c:pt>
                <c:pt idx="21">
                  <c:v>1.6904399999999999</c:v>
                </c:pt>
                <c:pt idx="22">
                  <c:v>1.6862900000000001</c:v>
                </c:pt>
                <c:pt idx="23">
                  <c:v>1.71167</c:v>
                </c:pt>
                <c:pt idx="24">
                  <c:v>1.7443299999999999</c:v>
                </c:pt>
                <c:pt idx="25">
                  <c:v>1.74919</c:v>
                </c:pt>
                <c:pt idx="26">
                  <c:v>1.76355</c:v>
                </c:pt>
                <c:pt idx="27">
                  <c:v>1.79484</c:v>
                </c:pt>
                <c:pt idx="28">
                  <c:v>1.8026599999999999</c:v>
                </c:pt>
                <c:pt idx="29">
                  <c:v>1.81288</c:v>
                </c:pt>
                <c:pt idx="30">
                  <c:v>1.85487</c:v>
                </c:pt>
                <c:pt idx="31">
                  <c:v>1.8521399999999999</c:v>
                </c:pt>
                <c:pt idx="32">
                  <c:v>1.8648800000000001</c:v>
                </c:pt>
                <c:pt idx="33">
                  <c:v>1.89256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25-4113-8101-77CB1ACEAAA3}"/>
            </c:ext>
          </c:extLst>
        </c:ser>
        <c:ser>
          <c:idx val="1"/>
          <c:order val="1"/>
          <c:tx>
            <c:v>Cp_H0-DBT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10569519207934489"/>
                  <c:y val="0.3062466836208183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/>
                      <a:t>Cp_H0-DBT ≈ 0,9858e</a:t>
                    </a:r>
                    <a:r>
                      <a:rPr lang="en-US" sz="1000" baseline="30000"/>
                      <a:t>0,0016x</a:t>
                    </a:r>
                    <a:br>
                      <a:rPr lang="en-US" sz="1000" baseline="0"/>
                    </a:br>
                    <a:r>
                      <a:rPr lang="en-US" sz="1000" baseline="0"/>
                      <a:t>R² = 0,9974</a:t>
                    </a:r>
                    <a:endParaRPr lang="en-US" sz="1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'DBT Cp_extrapolated'!$Q$4:$Q$37</c:f>
              <c:numCache>
                <c:formatCode>General</c:formatCode>
                <c:ptCount val="34"/>
                <c:pt idx="0">
                  <c:v>235.45</c:v>
                </c:pt>
                <c:pt idx="1">
                  <c:v>240.45</c:v>
                </c:pt>
                <c:pt idx="2">
                  <c:v>245.45</c:v>
                </c:pt>
                <c:pt idx="3">
                  <c:v>250.45</c:v>
                </c:pt>
                <c:pt idx="4">
                  <c:v>255.45</c:v>
                </c:pt>
                <c:pt idx="5">
                  <c:v>260.45</c:v>
                </c:pt>
                <c:pt idx="6">
                  <c:v>265.45</c:v>
                </c:pt>
                <c:pt idx="7">
                  <c:v>270.45</c:v>
                </c:pt>
                <c:pt idx="8">
                  <c:v>275.45</c:v>
                </c:pt>
                <c:pt idx="9">
                  <c:v>280.45</c:v>
                </c:pt>
                <c:pt idx="10">
                  <c:v>285.45</c:v>
                </c:pt>
                <c:pt idx="11">
                  <c:v>290.45</c:v>
                </c:pt>
                <c:pt idx="12">
                  <c:v>295.45</c:v>
                </c:pt>
                <c:pt idx="13">
                  <c:v>300.45</c:v>
                </c:pt>
                <c:pt idx="14">
                  <c:v>305.45</c:v>
                </c:pt>
                <c:pt idx="15">
                  <c:v>310.45</c:v>
                </c:pt>
                <c:pt idx="16">
                  <c:v>315.45</c:v>
                </c:pt>
                <c:pt idx="17">
                  <c:v>320.45</c:v>
                </c:pt>
                <c:pt idx="18">
                  <c:v>325.45</c:v>
                </c:pt>
                <c:pt idx="19">
                  <c:v>330.45</c:v>
                </c:pt>
                <c:pt idx="20">
                  <c:v>335.45</c:v>
                </c:pt>
                <c:pt idx="21">
                  <c:v>340.45</c:v>
                </c:pt>
                <c:pt idx="22">
                  <c:v>345.45</c:v>
                </c:pt>
                <c:pt idx="23">
                  <c:v>350.45</c:v>
                </c:pt>
                <c:pt idx="24">
                  <c:v>355.45</c:v>
                </c:pt>
                <c:pt idx="25">
                  <c:v>360.45</c:v>
                </c:pt>
                <c:pt idx="26">
                  <c:v>365.45</c:v>
                </c:pt>
                <c:pt idx="27">
                  <c:v>370.45</c:v>
                </c:pt>
                <c:pt idx="28">
                  <c:v>375.45</c:v>
                </c:pt>
                <c:pt idx="29">
                  <c:v>380.45</c:v>
                </c:pt>
                <c:pt idx="30">
                  <c:v>385.45</c:v>
                </c:pt>
                <c:pt idx="31">
                  <c:v>390.45</c:v>
                </c:pt>
                <c:pt idx="32">
                  <c:v>395.45</c:v>
                </c:pt>
                <c:pt idx="33">
                  <c:v>400.45</c:v>
                </c:pt>
              </c:numCache>
            </c:numRef>
          </c:xVal>
          <c:yVal>
            <c:numRef>
              <c:f>'DBT Cp_extrapolated'!$R$4:$R$37</c:f>
              <c:numCache>
                <c:formatCode>General</c:formatCode>
                <c:ptCount val="34"/>
                <c:pt idx="0">
                  <c:v>1.4317500000000001</c:v>
                </c:pt>
                <c:pt idx="1">
                  <c:v>1.43005</c:v>
                </c:pt>
                <c:pt idx="2">
                  <c:v>1.4508799999999999</c:v>
                </c:pt>
                <c:pt idx="3">
                  <c:v>1.46278</c:v>
                </c:pt>
                <c:pt idx="4">
                  <c:v>1.4704200000000001</c:v>
                </c:pt>
                <c:pt idx="5">
                  <c:v>1.4807999999999999</c:v>
                </c:pt>
                <c:pt idx="6">
                  <c:v>1.5013300000000001</c:v>
                </c:pt>
                <c:pt idx="7">
                  <c:v>1.5084299999999999</c:v>
                </c:pt>
                <c:pt idx="8">
                  <c:v>1.5135799999999999</c:v>
                </c:pt>
                <c:pt idx="9">
                  <c:v>1.5323899999999999</c:v>
                </c:pt>
                <c:pt idx="10">
                  <c:v>1.53284</c:v>
                </c:pt>
                <c:pt idx="11">
                  <c:v>1.54871</c:v>
                </c:pt>
                <c:pt idx="12">
                  <c:v>1.56128</c:v>
                </c:pt>
                <c:pt idx="13">
                  <c:v>1.5682100000000001</c:v>
                </c:pt>
                <c:pt idx="14">
                  <c:v>1.5829200000000001</c:v>
                </c:pt>
                <c:pt idx="15">
                  <c:v>1.5973299999999999</c:v>
                </c:pt>
                <c:pt idx="16">
                  <c:v>1.6106400000000001</c:v>
                </c:pt>
                <c:pt idx="17">
                  <c:v>1.6214599999999999</c:v>
                </c:pt>
                <c:pt idx="18">
                  <c:v>1.6390899999999999</c:v>
                </c:pt>
                <c:pt idx="19">
                  <c:v>1.65432</c:v>
                </c:pt>
                <c:pt idx="20">
                  <c:v>1.66412</c:v>
                </c:pt>
                <c:pt idx="21">
                  <c:v>1.68564</c:v>
                </c:pt>
                <c:pt idx="22">
                  <c:v>1.70181</c:v>
                </c:pt>
                <c:pt idx="23">
                  <c:v>1.70408</c:v>
                </c:pt>
                <c:pt idx="24">
                  <c:v>1.7243900000000001</c:v>
                </c:pt>
                <c:pt idx="25">
                  <c:v>1.74353</c:v>
                </c:pt>
                <c:pt idx="26">
                  <c:v>1.74901</c:v>
                </c:pt>
                <c:pt idx="27">
                  <c:v>1.76237</c:v>
                </c:pt>
                <c:pt idx="28">
                  <c:v>1.7866899999999999</c:v>
                </c:pt>
                <c:pt idx="29">
                  <c:v>1.7887599999999999</c:v>
                </c:pt>
                <c:pt idx="30">
                  <c:v>1.7895000000000001</c:v>
                </c:pt>
                <c:pt idx="31">
                  <c:v>1.8282099999999999</c:v>
                </c:pt>
                <c:pt idx="32">
                  <c:v>1.8203499999999999</c:v>
                </c:pt>
                <c:pt idx="33">
                  <c:v>1.8339799999999999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25-4113-8101-77CB1ACEA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135135"/>
        <c:axId val="1496118223"/>
      </c:scatterChart>
      <c:valAx>
        <c:axId val="1076135135"/>
        <c:scaling>
          <c:orientation val="minMax"/>
          <c:min val="2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/>
                  <a:t>Temp [K]</a:t>
                </a:r>
              </a:p>
            </c:rich>
          </c:tx>
          <c:layout>
            <c:manualLayout>
              <c:xMode val="edge"/>
              <c:yMode val="edge"/>
              <c:x val="0.49400314192115474"/>
              <c:y val="0.92225198260827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96118223"/>
        <c:crosses val="autoZero"/>
        <c:crossBetween val="midCat"/>
      </c:valAx>
      <c:valAx>
        <c:axId val="1496118223"/>
        <c:scaling>
          <c:orientation val="minMax"/>
          <c:min val="1.3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/>
                  <a:t>Cp</a:t>
                </a:r>
                <a:r>
                  <a:rPr lang="nb-NO" sz="1100" baseline="0"/>
                  <a:t> [kJ/(kg*K)]</a:t>
                </a:r>
                <a:endParaRPr lang="nb-NO" sz="1100"/>
              </a:p>
            </c:rich>
          </c:tx>
          <c:layout>
            <c:manualLayout>
              <c:xMode val="edge"/>
              <c:yMode val="edge"/>
              <c:x val="1.8762343329177245E-2"/>
              <c:y val="0.39986867967635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6135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45071177254332"/>
          <c:y val="0.65801858364584742"/>
          <c:w val="0.30654241386168463"/>
          <c:h val="0.19425631411138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</xdr:colOff>
      <xdr:row>24</xdr:row>
      <xdr:rowOff>189670</xdr:rowOff>
    </xdr:from>
    <xdr:to>
      <xdr:col>6</xdr:col>
      <xdr:colOff>609599</xdr:colOff>
      <xdr:row>38</xdr:row>
      <xdr:rowOff>161462</xdr:rowOff>
    </xdr:to>
    <xdr:graphicFrame macro="">
      <xdr:nvGraphicFramePr>
        <xdr:cNvPr id="14" name="Diagram 53">
          <a:extLst>
            <a:ext uri="{FF2B5EF4-FFF2-40B4-BE49-F238E27FC236}">
              <a16:creationId xmlns:a16="http://schemas.microsoft.com/office/drawing/2014/main" id="{582DC089-EF10-4CAA-B5B3-CBF8E658E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0</xdr:rowOff>
    </xdr:from>
    <xdr:to>
      <xdr:col>7</xdr:col>
      <xdr:colOff>0</xdr:colOff>
      <xdr:row>24</xdr:row>
      <xdr:rowOff>32238</xdr:rowOff>
    </xdr:to>
    <xdr:graphicFrame macro="">
      <xdr:nvGraphicFramePr>
        <xdr:cNvPr id="13" name="Diagram 53">
          <a:extLst>
            <a:ext uri="{FF2B5EF4-FFF2-40B4-BE49-F238E27FC236}">
              <a16:creationId xmlns:a16="http://schemas.microsoft.com/office/drawing/2014/main" id="{8CACB31E-93C1-444B-AF25-233DEDE89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7645</xdr:colOff>
      <xdr:row>28</xdr:row>
      <xdr:rowOff>16056</xdr:rowOff>
    </xdr:from>
    <xdr:to>
      <xdr:col>7</xdr:col>
      <xdr:colOff>293395</xdr:colOff>
      <xdr:row>42</xdr:row>
      <xdr:rowOff>92256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5B395B6-57CB-4FF6-9F1B-E5C3724C6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252845</xdr:colOff>
      <xdr:row>53</xdr:row>
      <xdr:rowOff>117330</xdr:rowOff>
    </xdr:from>
    <xdr:to>
      <xdr:col>9</xdr:col>
      <xdr:colOff>652895</xdr:colOff>
      <xdr:row>68</xdr:row>
      <xdr:rowOff>25544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A80A3B-6E05-45E8-B2D2-4302C1553C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231205</xdr:colOff>
      <xdr:row>69</xdr:row>
      <xdr:rowOff>186748</xdr:rowOff>
    </xdr:from>
    <xdr:to>
      <xdr:col>10</xdr:col>
      <xdr:colOff>569062</xdr:colOff>
      <xdr:row>89</xdr:row>
      <xdr:rowOff>24993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AF8CFF3-C3FE-40DC-ACC5-C73AFF1F7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114629</xdr:colOff>
      <xdr:row>36</xdr:row>
      <xdr:rowOff>6627</xdr:rowOff>
    </xdr:from>
    <xdr:to>
      <xdr:col>3</xdr:col>
      <xdr:colOff>3079181</xdr:colOff>
      <xdr:row>57</xdr:row>
      <xdr:rowOff>94550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FF494FA-EA99-4E47-B653-3F1E25A24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3362739</xdr:colOff>
      <xdr:row>36</xdr:row>
      <xdr:rowOff>8282</xdr:rowOff>
    </xdr:from>
    <xdr:to>
      <xdr:col>7</xdr:col>
      <xdr:colOff>968444</xdr:colOff>
      <xdr:row>57</xdr:row>
      <xdr:rowOff>96205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6C3B363-F786-4340-BB6F-582E773C2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107333</xdr:colOff>
      <xdr:row>4</xdr:row>
      <xdr:rowOff>66460</xdr:rowOff>
    </xdr:from>
    <xdr:to>
      <xdr:col>10</xdr:col>
      <xdr:colOff>209550</xdr:colOff>
      <xdr:row>25</xdr:row>
      <xdr:rowOff>180976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45A0BA0-80D0-4AED-837A-EA101CB67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ers Vangsnes Bøe" id="{8B6D74C3-C0D8-40CF-90A7-D64AB918A0B7}" userId="Anders Vangsnes Bøe" providerId="None"/>
  <person displayName="Tommy Arne Reinertsen" id="{1C8CAFB7-8CDA-4CFA-BA56-FFB081AFC267}" userId="Tommy Arne Reinertsen" providerId="None"/>
</personList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connectionId="1" xr16:uid="{CBA62259-CF23-4F79-9791-872A2FAB6564}" autoFormatId="16" applyNumberFormats="0" applyBorderFormats="0" applyFontFormats="0" applyPatternFormats="0" applyAlignmentFormats="0" applyWidthHeightFormats="0">
  <queryTableRefresh nextId="11">
    <queryTableFields count="10">
      <queryTableField id="1" name="﻿Vessels Name" tableColumnId="1"/>
      <queryTableField id="2" name="Event" tableColumnId="2"/>
      <queryTableField id="3" name="Date Time" tableColumnId="3"/>
      <queryTableField id="4" name="Event Content" tableColumnId="4"/>
      <queryTableField id="5" name="Area" tableColumnId="5"/>
      <queryTableField id="6" name="Area Local" tableColumnId="6"/>
      <queryTableField id="7" name="Speed" tableColumnId="7"/>
      <queryTableField id="8" name="Course" tableColumnId="8"/>
      <queryTableField id="9" name="Lat" tableColumnId="9"/>
      <queryTableField id="10" name="Lon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C4B78B-4785-4836-8182-822D9AC5F818}" name="MarineTraffic" displayName="MarineTraffic" ref="A9:J600" tableType="queryTable" totalsRowShown="0" headerRowDxfId="11" dataDxfId="10">
  <autoFilter ref="A9:J600" xr:uid="{81451696-07A5-42AE-B4EF-DF67FA4CF77A}"/>
  <tableColumns count="10">
    <tableColumn id="1" xr3:uid="{9C51EF4B-6A38-466B-BA35-0FB23FEA07F3}" uniqueName="1" name="﻿Vessels Name" queryTableFieldId="1" dataDxfId="9"/>
    <tableColumn id="2" xr3:uid="{890E531E-9F4F-4CF9-9E84-8290AFE89F9F}" uniqueName="2" name="Event" queryTableFieldId="2" dataDxfId="8"/>
    <tableColumn id="3" xr3:uid="{B806FFDC-35FF-4100-A8A9-53762E4A73A8}" uniqueName="3" name="Date Time" queryTableFieldId="3" dataDxfId="7"/>
    <tableColumn id="4" xr3:uid="{92371C64-CDBD-4AAC-B067-EE8ADAB948D4}" uniqueName="4" name="Event Content" queryTableFieldId="4" dataDxfId="6"/>
    <tableColumn id="5" xr3:uid="{C24D35FA-DBF8-4E5E-8B1C-7B8B889185A0}" uniqueName="5" name="Area" queryTableFieldId="5" dataDxfId="5"/>
    <tableColumn id="6" xr3:uid="{ABAD210B-B75A-4C69-805F-D4D79D9E0AC9}" uniqueName="6" name="Area Local" queryTableFieldId="6" dataDxfId="4"/>
    <tableColumn id="7" xr3:uid="{B8DFC953-AA9A-4D8F-A2F5-F2E40DEEFE16}" uniqueName="7" name="Speed" queryTableFieldId="7" dataDxfId="3"/>
    <tableColumn id="8" xr3:uid="{DBB5F5AF-498F-4BBF-92D0-8DA0432432FC}" uniqueName="8" name="Course" queryTableFieldId="8" dataDxfId="2"/>
    <tableColumn id="9" xr3:uid="{18506329-D390-454B-B4A6-2EE65D8267D5}" uniqueName="9" name="Lat" queryTableFieldId="9" dataDxfId="1"/>
    <tableColumn id="10" xr3:uid="{3ECB2230-964C-40C4-998B-C9E789A9620C}" uniqueName="10" name="Lon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1-04-16T13:28:26.65" personId="{8B6D74C3-C0D8-40CF-90A7-D64AB918A0B7}" id="{2EF6F342-0349-4BB9-8DFC-20814E2607A1}">
    <text>https://www.sintef.no/contentassets/cd105affc9d64e09a7b6e822203c5b0d/underlagsnotat_hydrogen_sintef.pdf</text>
  </threadedComment>
  <threadedComment ref="C3" dT="2021-04-16T13:28:31.32" personId="{8B6D74C3-C0D8-40CF-90A7-D64AB918A0B7}" id="{54E5B256-E30B-41D4-B662-4970F9B3EDDB}">
    <text>https://www.sintef.no/contentassets/cd105affc9d64e09a7b6e822203c5b0d/underlagsnotat_hydrogen_sintef.pdf</text>
  </threadedComment>
  <threadedComment ref="D3" dT="2021-04-16T13:28:35.67" personId="{8B6D74C3-C0D8-40CF-90A7-D64AB918A0B7}" id="{B84257A2-0DF5-4404-B783-167F357768D2}">
    <text>https://www.sintef.no/contentassets/cd105affc9d64e09a7b6e822203c5b0d/underlagsnotat_hydrogen_sintef.pdf</text>
  </threadedComment>
  <threadedComment ref="E3" dT="2021-04-16T13:28:40.74" personId="{8B6D74C3-C0D8-40CF-90A7-D64AB918A0B7}" id="{1AB2A20A-FA82-4140-815A-7D3F139B5C6C}">
    <text>https://www.sintef.no/contentassets/cd105affc9d64e09a7b6e822203c5b0d/underlagsnotat_hydrogen_sintef.pdf</text>
  </threadedComment>
  <threadedComment ref="B7" dT="2021-04-16T13:37:56.81" personId="{1C8CAFB7-8CDA-4CFA-BA56-FFB081AFC267}" id="{7E832797-8F34-4CF3-8E71-33D87F136911}">
    <text>https://www.sintef.no/contentassets/cd105affc9d64e09a7b6e822203c5b0d/underlagsnotat_hydrogen_sintef.pdf</text>
  </threadedComment>
  <threadedComment ref="C7" dT="2021-04-21T18:31:34.33" personId="{8B6D74C3-C0D8-40CF-90A7-D64AB918A0B7}" id="{A6816878-D3F1-4EE3-A344-0BE9A8D80B5F}">
    <text>https://www.sintef.no/contentassets/cd105affc9d64e09a7b6e822203c5b0d/underlagsnotat_hydrogen_sintef.pdf</text>
  </threadedComment>
  <threadedComment ref="D7" dT="2021-04-21T18:31:38.92" personId="{8B6D74C3-C0D8-40CF-90A7-D64AB918A0B7}" id="{DD5CCF49-088F-4712-9551-C8652C39FB6F}">
    <text>https://www.sintef.no/contentassets/cd105affc9d64e09a7b6e822203c5b0d/underlagsnotat_hydrogen_sintef.pdf</text>
  </threadedComment>
  <threadedComment ref="E7" dT="2021-04-21T18:31:43.04" personId="{8B6D74C3-C0D8-40CF-90A7-D64AB918A0B7}" id="{ABE7153C-49B0-4D32-9E22-D965476227D2}">
    <text>https://www.sintef.no/contentassets/cd105affc9d64e09a7b6e822203c5b0d/underlagsnotat_hydrogen_sintef.pdf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553" dT="2021-03-06T18:28:29.75" personId="{8B6D74C3-C0D8-40CF-90A7-D64AB918A0B7}" id="{2FD99765-8112-46F0-8A61-EE2F083391C7}">
    <text>google.com/maps/place/66°44'41.9"N+13°29'58.6"E/@66.745173,13.4996979,555m/data=!3m1!1e3!4m5!3m4!1s0x0:0x0!8m2!3d66.74496!4d13.49962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8" dT="2021-04-24T08:58:19.27" personId="{8B6D74C3-C0D8-40CF-90A7-D64AB918A0B7}" id="{4FA7F6B1-DEB6-4575-BC0F-54AEC3921F30}">
    <text>https://www.norges-bank.no/tema/Statistikk/Valutakurser/?tab=currency&amp;id=EUR</text>
  </threadedComment>
  <threadedComment ref="K33" dT="2021-04-25T19:28:25.04" personId="{8B6D74C3-C0D8-40CF-90A7-D64AB918A0B7}" id="{C3593E6D-BD1D-4C38-9380-BABF855558EA}">
    <text>https://autoline.info/-/sale/fuel-tank-trailers/LINDNER-FISCHER-TSA-60-SD-4-axle-Fuel-Tank-Trailer-NEW-2-Units--17121413330436656200</text>
  </threadedComment>
  <threadedComment ref="L33" dT="2021-04-25T19:33:25.00" personId="{8B6D74C3-C0D8-40CF-90A7-D64AB918A0B7}" id="{CC159EAF-C554-4467-BF5B-09A55DDCEDE9}">
    <text>https://www.osti.gov/servlets/purl/982359-i1bna2/</text>
  </threadedComment>
  <threadedComment ref="M33" dT="2021-04-25T19:29:39.43" personId="{8B6D74C3-C0D8-40CF-90A7-D64AB918A0B7}" id="{D4D6ACFB-AAA4-4B93-9635-C03299642FF0}">
    <text>https://www.mylittlesalesman.com/2018-polar-10600-265-psi-available-for-lease-or-purchase-industrial-gas-tank-trailer-9223001</text>
  </threadedComment>
  <threadedComment ref="J38" dT="2021-04-26T14:05:40.94" personId="{8B6D74C3-C0D8-40CF-90A7-D64AB918A0B7}" id="{35EFB33F-33E2-4709-BF5B-9DA3CF90D0D1}">
    <text>https://www.circlek.no/bedrift/drivstoff/drivstoffpriser</text>
  </threadedComment>
  <threadedComment ref="J39" dT="2021-04-26T14:08:51.27" personId="{8B6D74C3-C0D8-40CF-90A7-D64AB918A0B7}" id="{D72A17C7-BA1B-4BC1-9DCA-2D57DD23BB28}">
    <text>https://frifagbevegelse.no/nyheter/lastebilsjaforene-krever-mer-lonn--melk-og-brod-er-ikke-billigere-for-sjaforer-enn-andre-6.158.681109.336b702b70#:~:text=I%20dag%20er%20timel%C3%B8nna%20for,hva%20en%20industriarbeider%20tjener%20(ca.</text>
  </threadedComment>
  <threadedComment ref="J39" dT="2021-04-26T14:08:57.21" personId="{8B6D74C3-C0D8-40CF-90A7-D64AB918A0B7}" id="{BF88B1CD-D98B-4AC7-BFE0-B0451478A08D}" parentId="{D72A17C7-BA1B-4BC1-9DCA-2D57DD23BB28}">
    <text>https://www.smartepenger.no/kalkulatorer/2734-ansattkostnad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16" dT="2021-04-27T18:02:46.39" personId="{8B6D74C3-C0D8-40CF-90A7-D64AB918A0B7}" id="{0D5814AE-1D0D-422F-9792-3F33C87CF4DA}">
    <text>https://kart.1881.no/?direction={60.8005431|5.0061575|Mongstad%2C%20Mongstad}{61.59960210442|5.03282695416688|Flor%C3%B8%2C%20Flor%C3%B8%20(Bydel)}</text>
  </threadedComment>
  <threadedComment ref="I26" dT="2021-04-27T18:02:46.39" personId="{8B6D74C3-C0D8-40CF-90A7-D64AB918A0B7}" id="{C44AE130-9611-4BCE-9CB0-3DC34E360F24}">
    <text>https://kart.1881.no/?direction={60.8005431|5.0061575|Mongstad%2C%20Mongstad}{61.59960210442|5.03282695416688|Flor%C3%B8%2C%20Flor%C3%B8%20(Bydel)}</text>
  </threadedComment>
  <threadedComment ref="E27" dT="2021-04-06T18:41:19.63" personId="{8B6D74C3-C0D8-40CF-90A7-D64AB918A0B7}" id="{8123D401-BE00-46EA-BEFB-95190FF6CE6B}">
    <text>https://www.wartsila.com/marine/build/engines-and-generating-sets/diesel-engines/wartsila-20</text>
  </threadedComment>
  <threadedComment ref="E32" dT="2021-04-06T18:54:01.01" personId="{8B6D74C3-C0D8-40CF-90A7-D64AB918A0B7}" id="{FD341931-782D-4771-B4AD-2F36FF3A47B6}">
    <text>https://baudouin.com/wp-content/uploads/2018/06/12-M26.2-EN-2020.pdf</text>
  </threadedComment>
  <threadedComment ref="E33" dT="2021-04-06T18:40:55.77" personId="{8B6D74C3-C0D8-40CF-90A7-D64AB918A0B7}" id="{39DD04CC-B0A1-4915-9214-AA2026F50524}">
    <text>https://baudouin.com/wp-content/uploads/2018/06/12-M26.2-EN-2020.pdf</text>
  </threadedComment>
  <threadedComment ref="E39" dT="2021-04-09T13:13:06.11" personId="{8B6D74C3-C0D8-40CF-90A7-D64AB918A0B7}" id="{2436BBC6-21F6-4A12-9EEE-F0730219A095}">
    <text>http://www.qaswaa-albararry.com/uploads/leroy%20somer/660-910%20kva.pdf</text>
  </threadedComment>
  <threadedComment ref="E42" dT="2021-04-09T13:13:30.69" personId="{8B6D74C3-C0D8-40CF-90A7-D64AB918A0B7}" id="{31733E5F-99DB-435F-B11F-E43842823956}">
    <text>https://muldermotoren.nl/volvopentadvd/marine_genset_asp/data_sources/techdata_generator/td_hcm434f.gb_10.06_05_gb.pdf</text>
  </threadedComment>
  <threadedComment ref="F97" dT="2021-05-02T15:47:15.75" personId="{8B6D74C3-C0D8-40CF-90A7-D64AB918A0B7}" id="{C2228D7F-663D-4AA4-ABA3-AEBEDD28E0D5}">
    <text>https://www.mdpi.com/2071-1050/12/21/8793/pdf</text>
  </threadedComment>
  <threadedComment ref="F98" dT="2021-05-02T15:47:19.36" personId="{8B6D74C3-C0D8-40CF-90A7-D64AB918A0B7}" id="{7DFD3613-72CB-4B22-A9D8-32BC9E55B90F}">
    <text>https://www.mdpi.com/2071-1050/12/21/8793/pdf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3" dT="2020-10-21T13:16:00.45" personId="{8B6D74C3-C0D8-40CF-90A7-D64AB918A0B7}" id="{B73AA7F1-9A41-44FF-8307-921E7132161E}">
    <text>Values from Hydroden Technology Mobile and Portable Applications</text>
  </threadedComment>
  <threadedComment ref="E4" dT="2020-10-21T13:20:52.39" personId="{8B6D74C3-C0D8-40CF-90A7-D64AB918A0B7}" id="{BA71680B-2FFE-4846-B5DE-002BF33B2288}">
    <text>Table 3S - Liquid Organic Hydrogen Carriers: Thermophysical and
Thermochemical Studies of Benzyl- and Dibenzyl-toluene
Derivatives. Karsten Müller</text>
  </threadedComment>
  <threadedComment ref="B5" dT="2020-10-21T13:18:35.66" personId="{8B6D74C3-C0D8-40CF-90A7-D64AB918A0B7}" id="{F3F65C9B-9013-462D-ABDB-4EE71948594C}">
    <text>Average Molarmass - Table A-1, Cengel Fluid Mechanics 4th edition, McGraw Hill educatio</text>
  </threadedComment>
  <threadedComment ref="E5" dT="2020-10-25T11:01:31.32" personId="{8B6D74C3-C0D8-40CF-90A7-D64AB918A0B7}" id="{AE623A47-572A-430E-9141-CA958025895B}">
    <text>Table 3S - Liquid Organic Hydrogen Carriers: Thermophysical and
Thermochemical Studies of Benzyl- and Dibenzyl-toluene
Derivatives. Karsten Müller</text>
  </threadedComment>
  <threadedComment ref="E7" dT="2021-04-13T13:38:06.60" personId="{8B6D74C3-C0D8-40CF-90A7-D64AB918A0B7}" id="{DABFC885-AA2C-4CD1-AC5E-D906C554FBCD}">
    <text>Niermann 2019</text>
  </threadedComment>
  <threadedComment ref="E10" dT="2021-04-21T20:40:04.83" personId="{8B6D74C3-C0D8-40CF-90A7-D64AB918A0B7}" id="{BA9F95C7-1BF0-4F22-979E-5DB65206E446}">
    <text>https://www.engineeringtoolbox.com/fuel-oil-storage-tanks-dimensions-d_1585.html</text>
  </threadedComment>
  <threadedComment ref="E11" dT="2021-04-21T20:40:01.12" personId="{8B6D74C3-C0D8-40CF-90A7-D64AB918A0B7}" id="{ACC3F687-4DCE-4271-9B63-6522527D0168}">
    <text>https://www.engineeringtoolbox.com/fuel-oil-storage-tanks-dimensions-d_1585.html</text>
  </threadedComment>
  <threadedComment ref="H13" dT="2020-10-21T15:53:35.74" personId="{8B6D74C3-C0D8-40CF-90A7-D64AB918A0B7}" id="{F0B5AC4C-DDC6-4604-BA2C-1A84FFCBE6C3}">
    <text>https://www.steamtablesonline.com/steam97web.aspx</text>
  </threadedComment>
  <threadedComment ref="E14" dT="2020-10-21T15:11:49.19" personId="{8B6D74C3-C0D8-40CF-90A7-D64AB918A0B7}" id="{D7648C8E-AE13-4114-8269-41A5804BCB02}">
    <text>Table 3S - Liquid Organic Hydrogen Carriers: Thermophysical and
Thermochemical Studies of Benzyl- and Dibenzyl-toluene
Derivatives. Karsten Müller</text>
  </threadedComment>
  <threadedComment ref="H14" dT="2021-04-06T14:17:58.89" personId="{8B6D74C3-C0D8-40CF-90A7-D64AB918A0B7}" id="{4FCB2009-6AB2-41B7-AFE4-297344E1A2D5}">
    <text>https://www.engineeringtoolbox.com/water-density-specific-weight-d_595.html</text>
  </threadedComment>
  <threadedComment ref="H15" dT="2020-10-21T15:48:54.36" personId="{8B6D74C3-C0D8-40CF-90A7-D64AB918A0B7}" id="{240B7FE7-24E2-4106-ACCF-7F4DF81DAA0B}">
    <text>https://www.steamtablesonline.com/steam97web.aspx</text>
  </threadedComment>
  <threadedComment ref="B16" dT="2020-10-25T11:41:59.29" personId="{8B6D74C3-C0D8-40CF-90A7-D64AB918A0B7}" id="{D33F748D-5134-4EBF-BB5D-B282E7A66E3E}">
    <text>https://webbook.nist.gov/cgi/fluid.cgi?T=20&amp;PLow=0&amp;PHigh=5&amp;PInc=1&amp;Applet=on&amp;Digits=5&amp;ID=C1333740&amp;Action=Load&amp;Type=IsoTherm&amp;TUnit=C&amp;PUnit=bar&amp;DUnit=kg%2Fm3&amp;HUnit=kJ%2Fkg&amp;WUnit=m%2Fs&amp;VisUnit=cP&amp;STUnit=N%2Fm&amp;RefState=DEF</text>
  </threadedComment>
  <threadedComment ref="E17" dT="2020-10-25T11:09:07.37" personId="{8B6D74C3-C0D8-40CF-90A7-D64AB918A0B7}" id="{258683EC-D48B-4316-BDC0-7E0AE10CFA3A}">
    <text>https://webbook.nist.gov/chemistry/fluid/</text>
  </threadedComment>
  <threadedComment ref="H17" dT="2020-10-22T01:24:18.86" personId="{8B6D74C3-C0D8-40CF-90A7-D64AB918A0B7}" id="{CDA5146D-FA1D-4659-B64D-63DDE4BD5319}">
    <text>Average Molarmass - Table A-1, Cengel Thermodynamics 8th edition, McGraw Hill educatio</text>
  </threadedComment>
  <threadedComment ref="B18" dT="2020-10-25T11:41:59.29" personId="{8B6D74C3-C0D8-40CF-90A7-D64AB918A0B7}" id="{AEBC43B8-D74A-4149-A74E-57C5D8CE3B26}">
    <text>Hydrogen Technology Mobile and Portable Applocations - Table 6.1</text>
  </threadedComment>
  <threadedComment ref="E18" dT="2020-10-25T11:07:17.08" personId="{8B6D74C3-C0D8-40CF-90A7-D64AB918A0B7}" id="{A2367E79-874C-4712-93E0-EED6FB6AD3A1}">
    <text>https://reader.elsevier.com/reader/sd/pii/S0360128517302320?token=989FF52A75817DEF353639B98DCA0E99B5B3C66F63E8DB0E387CEB547679B62B50C68EBA2E67CE7EB59BEFA2C08769C8&amp;originRegion=eu-west-1&amp;originCreation=20210417090652</text>
  </threadedComment>
  <threadedComment ref="B20" dT="2020-10-25T11:41:59.29" personId="{8B6D74C3-C0D8-40CF-90A7-D64AB918A0B7}" id="{562DAB4F-6826-4CDC-A729-8F9F2659370E}">
    <text>Hydrogen Technology Mobile and Portable Applocations - Table 6.1</text>
  </threadedComment>
  <threadedComment ref="B22" dT="2020-10-25T11:41:59.29" personId="{8B6D74C3-C0D8-40CF-90A7-D64AB918A0B7}" id="{6494EA75-5643-4C81-A896-04F9CD9DB00D}">
    <text>Hydrogen Technology Mobile and Portable Applocations - Table 6.1</text>
  </threadedComment>
  <threadedComment ref="B24" dT="2021-04-13T10:58:22.55" personId="{8B6D74C3-C0D8-40CF-90A7-D64AB918A0B7}" id="{5C556787-F996-4171-B38C-7803579CB2A4}">
    <text>https://static1.squarespace.com/static/5d1c6c223c9d400001e2f407/t/5fdb362533c6977cf5b32e7f/1608201769287/Endelig+rapport_B.0+Hydrogen+value+chains+2030_V4.pdf</text>
  </threadedComment>
  <threadedComment ref="H24" dT="2020-10-25T11:42:27.69" personId="{8B6D74C3-C0D8-40CF-90A7-D64AB918A0B7}" id="{72E2FB63-3688-4B48-88D0-CAED0D23C589}">
    <text>Hydrogen Technology Mobile and Portable Applocations - Table 6.1</text>
  </threadedComment>
  <threadedComment ref="B25" dT="2021-04-13T10:58:26.83" personId="{8B6D74C3-C0D8-40CF-90A7-D64AB918A0B7}" id="{F968ECB7-E1F5-457B-A07C-42E4E5EB268C}">
    <text>https://static1.squarespace.com/static/5d1c6c223c9d400001e2f407/t/5fdb362533c6977cf5b32e7f/1608201769287/Endelig+rapport_B.0+Hydrogen+value+chains+2030_V4.pdf</text>
  </threadedComment>
  <threadedComment ref="H25" dT="2020-10-25T11:42:24.65" personId="{8B6D74C3-C0D8-40CF-90A7-D64AB918A0B7}" id="{AF3A901D-8E9D-45CC-B589-1B589FF3FC60}">
    <text>Hydrogen Technology Mobile and Portable Applocations - Table 6.1</text>
  </threadedComment>
  <threadedComment ref="H26" dT="2020-10-25T11:42:21.00" personId="{8B6D74C3-C0D8-40CF-90A7-D64AB918A0B7}" id="{47D2B85D-E3E5-4F70-8D91-EA3CCFD1F13D}">
    <text>Hydrogen Technology Mobile and Portable Applocations - Table 6.1</text>
  </threadedComment>
  <threadedComment ref="E27" dT="2021-03-16T11:03:08.29" personId="{8B6D74C3-C0D8-40CF-90A7-D64AB918A0B7}" id="{E1FA0C4C-2601-4177-B5E4-1D21A3645C68}">
    <text>https://www.wfscorp.com/sites/default/files/ISO-8217-2017-Tables-1-and-2-1-1.pdf</text>
  </threadedComment>
  <threadedComment ref="E30" dT="2021-04-06T14:10:04.68" personId="{8B6D74C3-C0D8-40CF-90A7-D64AB918A0B7}" id="{B9EACEB1-2BD9-4F34-B6E2-747B0449A207}">
    <text>https://www.regjeringen.no/no/sub/eos-notatbasen/notatene/2013/jan/svovelinnhold-i-marint-drivstoff/id2433131/#:~:text=Fra%202015%20er%20grensen%20i,generell%20grense%20p%C3%A5%200%2C10%20%25</text>
  </threadedComment>
  <threadedComment ref="H31" dT="2020-10-25T11:42:27.69" personId="{8B6D74C3-C0D8-40CF-90A7-D64AB918A0B7}" id="{ED34886C-3F09-4979-9F53-C5D63ECD2A2D}">
    <text>Hydrogen Technology Mobile and Portable Applocations - Table 6.1</text>
  </threadedComment>
  <threadedComment ref="H32" dT="2020-10-25T11:42:24.65" personId="{8B6D74C3-C0D8-40CF-90A7-D64AB918A0B7}" id="{C0EF3060-90FF-4CAF-9AFD-A193272B9267}">
    <text>Hydrogen Technology Mobile and Portable Applocations - Table 6.1</text>
  </threadedComment>
  <threadedComment ref="H33" dT="2020-10-25T11:42:21.00" personId="{8B6D74C3-C0D8-40CF-90A7-D64AB918A0B7}" id="{01765B5D-E8F7-4AFC-8F00-B4B1E572F93E}">
    <text>Hydrogen Technology Mobile and Portable Applocations - Table 6.1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B37EA-DA62-4750-9529-B7A7270A8F43}">
  <dimension ref="B2:E8"/>
  <sheetViews>
    <sheetView workbookViewId="0">
      <selection activeCell="E54" sqref="E54"/>
    </sheetView>
  </sheetViews>
  <sheetFormatPr baseColWidth="10" defaultColWidth="11.42578125" defaultRowHeight="15"/>
  <cols>
    <col min="2" max="2" width="15.85546875" customWidth="1"/>
    <col min="3" max="3" width="12.7109375" customWidth="1"/>
    <col min="4" max="4" width="16.42578125" customWidth="1"/>
    <col min="5" max="5" width="13.85546875" customWidth="1"/>
  </cols>
  <sheetData>
    <row r="2" spans="2:5">
      <c r="B2" s="386" t="s">
        <v>1686</v>
      </c>
      <c r="C2" s="387"/>
      <c r="D2" s="387"/>
      <c r="E2" s="388"/>
    </row>
    <row r="3" spans="2:5">
      <c r="B3" s="139" t="s">
        <v>1687</v>
      </c>
      <c r="C3" s="139" t="s">
        <v>1688</v>
      </c>
      <c r="D3" s="139" t="s">
        <v>1689</v>
      </c>
      <c r="E3" s="139" t="s">
        <v>1685</v>
      </c>
    </row>
    <row r="4" spans="2:5">
      <c r="B4" s="176">
        <v>0.48</v>
      </c>
      <c r="C4" s="176">
        <v>0.3</v>
      </c>
      <c r="D4" s="176">
        <v>0.18</v>
      </c>
      <c r="E4" s="176">
        <v>0.04</v>
      </c>
    </row>
    <row r="5" spans="2:5">
      <c r="B5" s="2"/>
      <c r="C5" s="2"/>
      <c r="D5" s="2"/>
      <c r="E5" s="2"/>
    </row>
    <row r="6" spans="2:5">
      <c r="B6" s="386" t="s">
        <v>1690</v>
      </c>
      <c r="C6" s="387"/>
      <c r="D6" s="387"/>
      <c r="E6" s="388"/>
    </row>
    <row r="7" spans="2:5">
      <c r="B7" s="149" t="s">
        <v>1693</v>
      </c>
      <c r="C7" s="149" t="s">
        <v>1691</v>
      </c>
      <c r="D7" s="149" t="s">
        <v>1694</v>
      </c>
      <c r="E7" s="149" t="s">
        <v>1692</v>
      </c>
    </row>
    <row r="8" spans="2:5">
      <c r="B8" s="143">
        <v>0.55000000000000004</v>
      </c>
      <c r="C8" s="143">
        <v>0.25</v>
      </c>
      <c r="D8" s="143">
        <v>0.1</v>
      </c>
      <c r="E8" s="143">
        <v>0.1</v>
      </c>
    </row>
  </sheetData>
  <mergeCells count="2">
    <mergeCell ref="B2:E2"/>
    <mergeCell ref="B6:E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D618-88A5-4B43-8D98-592F728A6B73}">
  <dimension ref="A1:AB665"/>
  <sheetViews>
    <sheetView topLeftCell="A129" zoomScale="70" zoomScaleNormal="70" workbookViewId="0">
      <selection activeCell="W51" sqref="W51"/>
    </sheetView>
  </sheetViews>
  <sheetFormatPr baseColWidth="10" defaultColWidth="11.42578125" defaultRowHeight="14.25"/>
  <cols>
    <col min="1" max="1" width="4.5703125" style="4" customWidth="1"/>
    <col min="2" max="2" width="24" style="4" customWidth="1"/>
    <col min="3" max="3" width="21.140625" style="4" customWidth="1"/>
    <col min="4" max="4" width="51.7109375" style="4" customWidth="1"/>
    <col min="5" max="5" width="8" style="4" bestFit="1" customWidth="1"/>
    <col min="6" max="6" width="16.140625" style="4" bestFit="1" customWidth="1"/>
    <col min="7" max="7" width="9" style="4" customWidth="1"/>
    <col min="8" max="8" width="9.42578125" style="4" bestFit="1" customWidth="1"/>
    <col min="9" max="9" width="11.7109375" style="4" customWidth="1"/>
    <col min="10" max="10" width="10.140625" style="4" customWidth="1"/>
    <col min="11" max="11" width="16.7109375" style="4" customWidth="1"/>
    <col min="12" max="12" width="20.140625" style="4" customWidth="1"/>
    <col min="13" max="13" width="22.140625" style="4" customWidth="1"/>
    <col min="14" max="15" width="15.140625" style="4" customWidth="1"/>
    <col min="16" max="16" width="14.140625" style="4" customWidth="1"/>
    <col min="17" max="17" width="20.5703125" style="4" customWidth="1"/>
    <col min="18" max="18" width="24" style="4" customWidth="1"/>
    <col min="19" max="19" width="11.42578125" style="4"/>
    <col min="20" max="20" width="10.28515625" style="4" customWidth="1"/>
    <col min="21" max="21" width="18.85546875" style="4" customWidth="1"/>
    <col min="22" max="22" width="13.28515625" style="4" customWidth="1"/>
    <col min="23" max="23" width="19.7109375" style="4" customWidth="1"/>
    <col min="24" max="16384" width="11.42578125" style="4"/>
  </cols>
  <sheetData>
    <row r="1" spans="1:28" ht="15">
      <c r="A1" s="11" t="s">
        <v>1631</v>
      </c>
      <c r="B1" s="11"/>
      <c r="C1" s="11"/>
      <c r="D1" s="11"/>
    </row>
    <row r="2" spans="1:28">
      <c r="A2" s="12" t="s">
        <v>1620</v>
      </c>
      <c r="B2" s="2" t="s">
        <v>1628</v>
      </c>
    </row>
    <row r="3" spans="1:28">
      <c r="A3" s="13" t="s">
        <v>1620</v>
      </c>
      <c r="B3" s="2" t="s">
        <v>1621</v>
      </c>
      <c r="C3" s="6"/>
    </row>
    <row r="4" spans="1:28" ht="15">
      <c r="A4" s="14" t="s">
        <v>1620</v>
      </c>
      <c r="B4" s="2" t="s">
        <v>1619</v>
      </c>
      <c r="C4" s="6"/>
    </row>
    <row r="5" spans="1:28">
      <c r="A5" s="15" t="s">
        <v>1620</v>
      </c>
      <c r="B5" s="4" t="s">
        <v>1629</v>
      </c>
      <c r="C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Z5" s="6"/>
      <c r="AA5" s="6"/>
      <c r="AB5" s="6"/>
    </row>
    <row r="6" spans="1:28">
      <c r="A6" s="16" t="s">
        <v>1620</v>
      </c>
      <c r="B6" s="4" t="s">
        <v>1629</v>
      </c>
      <c r="C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Z6" s="6"/>
      <c r="AA6" s="6"/>
      <c r="AB6" s="6"/>
    </row>
    <row r="7" spans="1:28">
      <c r="A7" s="17" t="s">
        <v>1620</v>
      </c>
      <c r="B7" s="4" t="s">
        <v>1630</v>
      </c>
      <c r="C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Z7" s="6"/>
      <c r="AA7" s="6"/>
      <c r="AB7" s="6"/>
    </row>
    <row r="8" spans="1:28">
      <c r="L8" s="6"/>
      <c r="M8" s="6"/>
      <c r="N8" s="6"/>
      <c r="O8" s="6"/>
      <c r="P8" s="6"/>
      <c r="Q8" s="6"/>
      <c r="R8" s="6"/>
      <c r="S8" s="6"/>
      <c r="T8" s="6"/>
      <c r="U8" s="6"/>
      <c r="V8" s="6"/>
      <c r="Z8" s="6"/>
      <c r="AA8" s="6"/>
      <c r="AB8" s="6"/>
    </row>
    <row r="9" spans="1:28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L9" s="18" t="s">
        <v>1498</v>
      </c>
      <c r="M9" s="6"/>
      <c r="N9" s="6"/>
      <c r="O9" s="6"/>
      <c r="P9" s="6"/>
      <c r="Q9" s="6"/>
      <c r="R9" s="6"/>
      <c r="S9" s="6"/>
      <c r="T9" s="6"/>
      <c r="U9" s="6"/>
      <c r="V9" s="6"/>
      <c r="Z9" s="6"/>
      <c r="AA9" s="6"/>
      <c r="AB9" s="6"/>
    </row>
    <row r="10" spans="1:28">
      <c r="A10" s="19" t="s">
        <v>10</v>
      </c>
      <c r="B10" s="20" t="s">
        <v>11</v>
      </c>
      <c r="C10" s="21">
        <v>44252.37777777778</v>
      </c>
      <c r="D10" s="20" t="s">
        <v>12</v>
      </c>
      <c r="E10" s="20" t="s">
        <v>13</v>
      </c>
      <c r="F10" s="20" t="s">
        <v>14</v>
      </c>
      <c r="G10" s="20" t="s">
        <v>15</v>
      </c>
      <c r="H10" s="4">
        <v>241</v>
      </c>
      <c r="I10" s="20" t="s">
        <v>16</v>
      </c>
      <c r="J10" s="20" t="s">
        <v>17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5">
      <c r="A11" s="19" t="s">
        <v>10</v>
      </c>
      <c r="B11" s="20" t="s">
        <v>18</v>
      </c>
      <c r="C11" s="21">
        <v>44252.123611111114</v>
      </c>
      <c r="D11" s="20" t="s">
        <v>19</v>
      </c>
      <c r="E11" s="20" t="s">
        <v>13</v>
      </c>
      <c r="F11" s="20" t="s">
        <v>14</v>
      </c>
      <c r="G11" s="20" t="s">
        <v>15</v>
      </c>
      <c r="H11" s="4">
        <v>241</v>
      </c>
      <c r="I11" s="20" t="s">
        <v>20</v>
      </c>
      <c r="J11" s="20" t="s">
        <v>17</v>
      </c>
      <c r="L11" s="22">
        <f>ACOS((SIN(I10*PI()/180)*SIN(I11*PI()/180)+COS(I10*PI()/180)*COS(I11*PI()/180)*COS(J11*PI()/180-J10*PI()/180)))*3443.8985*1.852</f>
        <v>3.3399880810213631E-3</v>
      </c>
      <c r="M11" s="6"/>
      <c r="N11" s="2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15.75" thickBot="1">
      <c r="A12" s="19" t="s">
        <v>10</v>
      </c>
      <c r="B12" s="20" t="s">
        <v>21</v>
      </c>
      <c r="C12" s="21">
        <v>44252.123611111114</v>
      </c>
      <c r="D12" s="20" t="s">
        <v>22</v>
      </c>
      <c r="E12" s="20" t="s">
        <v>13</v>
      </c>
      <c r="F12" s="20" t="s">
        <v>14</v>
      </c>
      <c r="G12" s="20" t="s">
        <v>15</v>
      </c>
      <c r="H12" s="4">
        <v>241</v>
      </c>
      <c r="I12" s="20" t="s">
        <v>20</v>
      </c>
      <c r="J12" s="20" t="s">
        <v>17</v>
      </c>
      <c r="L12" s="3">
        <f t="shared" ref="L12:L75" si="0">ACOS((SIN(I11*PI()/180)*SIN(I12*PI()/180)+COS(I11*PI()/180)*COS(I12*PI()/180)*COS(J12*PI()/180-J11*PI()/180)))*3443.8985*1.852</f>
        <v>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>
      <c r="A13" s="19" t="s">
        <v>10</v>
      </c>
      <c r="B13" s="24" t="s">
        <v>23</v>
      </c>
      <c r="C13" s="25">
        <v>44251.992361111108</v>
      </c>
      <c r="D13" s="24" t="s">
        <v>24</v>
      </c>
      <c r="E13" s="26" t="s">
        <v>13</v>
      </c>
      <c r="F13" s="26" t="s">
        <v>14</v>
      </c>
      <c r="G13" s="26" t="s">
        <v>25</v>
      </c>
      <c r="H13" s="27"/>
      <c r="I13" s="26" t="s">
        <v>25</v>
      </c>
      <c r="J13" s="26" t="s">
        <v>25</v>
      </c>
      <c r="K13" s="27"/>
      <c r="L13" s="28"/>
      <c r="M13" s="29"/>
      <c r="N13" s="30" t="s">
        <v>271</v>
      </c>
      <c r="O13" s="30" t="s">
        <v>23</v>
      </c>
      <c r="P13" s="30" t="s">
        <v>1498</v>
      </c>
      <c r="Q13" s="30" t="s">
        <v>1495</v>
      </c>
      <c r="R13" s="31" t="s">
        <v>1499</v>
      </c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5">
      <c r="A14" s="32" t="s">
        <v>10</v>
      </c>
      <c r="B14" s="32" t="s">
        <v>26</v>
      </c>
      <c r="C14" s="33">
        <v>44251.992361111108</v>
      </c>
      <c r="D14" s="32" t="s">
        <v>27</v>
      </c>
      <c r="E14" s="19" t="s">
        <v>13</v>
      </c>
      <c r="F14" s="19" t="s">
        <v>14</v>
      </c>
      <c r="G14" s="19" t="s">
        <v>25</v>
      </c>
      <c r="H14" s="34"/>
      <c r="I14" s="35" t="s">
        <v>16</v>
      </c>
      <c r="J14" s="35" t="s">
        <v>274</v>
      </c>
      <c r="K14" s="34"/>
      <c r="L14" s="36"/>
      <c r="M14" s="37"/>
      <c r="N14" s="38" t="s">
        <v>1497</v>
      </c>
      <c r="O14" s="38" t="s">
        <v>1496</v>
      </c>
      <c r="P14" s="39">
        <f>SUM(L14:L22)</f>
        <v>100.67389595238919</v>
      </c>
      <c r="Q14" s="39">
        <f>AVERAGE(G15:G20)</f>
        <v>10.366666666666667</v>
      </c>
      <c r="R14" s="40">
        <f>(C13 - C22)*24</f>
        <v>6.7999999999883585</v>
      </c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15">
      <c r="A15" s="32" t="s">
        <v>10</v>
      </c>
      <c r="B15" s="32" t="s">
        <v>28</v>
      </c>
      <c r="C15" s="33">
        <v>44251.913194444445</v>
      </c>
      <c r="D15" s="32" t="s">
        <v>29</v>
      </c>
      <c r="E15" s="19" t="s">
        <v>13</v>
      </c>
      <c r="F15" s="19" t="s">
        <v>14</v>
      </c>
      <c r="G15" s="19">
        <v>10.9</v>
      </c>
      <c r="H15" s="34">
        <v>167</v>
      </c>
      <c r="I15" s="19" t="s">
        <v>31</v>
      </c>
      <c r="J15" s="19" t="s">
        <v>32</v>
      </c>
      <c r="K15" s="34"/>
      <c r="L15" s="36">
        <f>ACOS((SIN(I14*PI()/180)*SIN(I15*PI()/180)+COS(I14*PI()/180)*COS(I15*PI()/180)*COS(J15*PI()/180-J14*PI()/180)))*3443.8985*1.852</f>
        <v>32.659085455644913</v>
      </c>
      <c r="M15" s="37"/>
      <c r="N15" s="37"/>
      <c r="O15" s="37"/>
      <c r="P15" s="37"/>
      <c r="Q15" s="37"/>
      <c r="R15" s="41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15">
      <c r="A16" s="32" t="s">
        <v>10</v>
      </c>
      <c r="B16" s="32" t="s">
        <v>33</v>
      </c>
      <c r="C16" s="33">
        <v>44251.843055555553</v>
      </c>
      <c r="D16" s="32" t="s">
        <v>34</v>
      </c>
      <c r="E16" s="19" t="s">
        <v>13</v>
      </c>
      <c r="F16" s="19" t="s">
        <v>14</v>
      </c>
      <c r="G16" s="19">
        <v>10.6</v>
      </c>
      <c r="H16" s="34">
        <v>97</v>
      </c>
      <c r="I16" s="19" t="s">
        <v>35</v>
      </c>
      <c r="J16" s="19" t="s">
        <v>36</v>
      </c>
      <c r="K16" s="34"/>
      <c r="L16" s="36">
        <f>ACOS((SIN(I15*PI()/180)*SIN(I16*PI()/180)+COS(I15*PI()/180)*COS(I16*PI()/180)*COS(J16*PI()/180-J15*PI()/180)))*3443.8985*1.852</f>
        <v>30.056998316570976</v>
      </c>
      <c r="M16" s="37"/>
      <c r="N16" s="37"/>
      <c r="O16" s="37"/>
      <c r="P16" s="37"/>
      <c r="Q16" s="37"/>
      <c r="R16" s="41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15">
      <c r="A17" s="32" t="s">
        <v>10</v>
      </c>
      <c r="B17" s="32" t="s">
        <v>33</v>
      </c>
      <c r="C17" s="33">
        <v>44251.82916666667</v>
      </c>
      <c r="D17" s="32" t="s">
        <v>37</v>
      </c>
      <c r="E17" s="19" t="s">
        <v>13</v>
      </c>
      <c r="F17" s="19" t="s">
        <v>14</v>
      </c>
      <c r="G17" s="19">
        <v>10.5</v>
      </c>
      <c r="H17" s="34">
        <v>137</v>
      </c>
      <c r="I17" s="19" t="s">
        <v>38</v>
      </c>
      <c r="J17" s="19" t="s">
        <v>39</v>
      </c>
      <c r="K17" s="34"/>
      <c r="L17" s="36">
        <f t="shared" si="0"/>
        <v>6.4036634110988162</v>
      </c>
      <c r="M17" s="37"/>
      <c r="N17" s="37"/>
      <c r="O17" s="37"/>
      <c r="P17" s="37"/>
      <c r="Q17" s="37"/>
      <c r="R17" s="41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15">
      <c r="A18" s="32" t="s">
        <v>10</v>
      </c>
      <c r="B18" s="32" t="s">
        <v>33</v>
      </c>
      <c r="C18" s="33">
        <v>44251.803472222222</v>
      </c>
      <c r="D18" s="32" t="s">
        <v>40</v>
      </c>
      <c r="E18" s="19" t="s">
        <v>13</v>
      </c>
      <c r="F18" s="19" t="s">
        <v>14</v>
      </c>
      <c r="G18" s="19">
        <v>10</v>
      </c>
      <c r="H18" s="34">
        <v>167</v>
      </c>
      <c r="I18" s="19" t="s">
        <v>41</v>
      </c>
      <c r="J18" s="19" t="s">
        <v>42</v>
      </c>
      <c r="K18" s="34"/>
      <c r="L18" s="36">
        <f t="shared" si="0"/>
        <v>11.396496067876868</v>
      </c>
      <c r="M18" s="37"/>
      <c r="N18" s="37"/>
      <c r="O18" s="37"/>
      <c r="P18" s="37"/>
      <c r="Q18" s="37"/>
      <c r="R18" s="41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5">
      <c r="A19" s="32" t="s">
        <v>10</v>
      </c>
      <c r="B19" s="32" t="s">
        <v>33</v>
      </c>
      <c r="C19" s="33">
        <v>44251.770833333336</v>
      </c>
      <c r="D19" s="32" t="s">
        <v>43</v>
      </c>
      <c r="E19" s="19" t="s">
        <v>13</v>
      </c>
      <c r="F19" s="19" t="s">
        <v>14</v>
      </c>
      <c r="G19" s="19">
        <v>9.6999999999999993</v>
      </c>
      <c r="H19" s="34">
        <v>209</v>
      </c>
      <c r="I19" s="19" t="s">
        <v>44</v>
      </c>
      <c r="J19" s="19" t="s">
        <v>45</v>
      </c>
      <c r="K19" s="34"/>
      <c r="L19" s="36">
        <f t="shared" si="0"/>
        <v>14.55390194411369</v>
      </c>
      <c r="M19" s="37"/>
      <c r="N19" s="37"/>
      <c r="O19" s="37"/>
      <c r="P19" s="37"/>
      <c r="Q19" s="37"/>
      <c r="R19" s="41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5">
      <c r="A20" s="32" t="s">
        <v>10</v>
      </c>
      <c r="B20" s="32" t="s">
        <v>33</v>
      </c>
      <c r="C20" s="33">
        <v>44251.763888888891</v>
      </c>
      <c r="D20" s="32" t="s">
        <v>46</v>
      </c>
      <c r="E20" s="19" t="s">
        <v>13</v>
      </c>
      <c r="F20" s="19" t="s">
        <v>14</v>
      </c>
      <c r="G20" s="19">
        <v>10.5</v>
      </c>
      <c r="H20" s="34">
        <v>241</v>
      </c>
      <c r="I20" s="19" t="s">
        <v>47</v>
      </c>
      <c r="J20" s="19" t="s">
        <v>48</v>
      </c>
      <c r="K20" s="34"/>
      <c r="L20" s="36">
        <f t="shared" si="0"/>
        <v>3.2612112116818333</v>
      </c>
      <c r="M20" s="37"/>
      <c r="N20" s="37"/>
      <c r="O20" s="37"/>
      <c r="P20" s="37"/>
      <c r="Q20" s="37"/>
      <c r="R20" s="41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">
      <c r="A21" s="32" t="s">
        <v>10</v>
      </c>
      <c r="B21" s="32" t="s">
        <v>49</v>
      </c>
      <c r="C21" s="33">
        <v>44251.756249999999</v>
      </c>
      <c r="D21" s="32" t="s">
        <v>50</v>
      </c>
      <c r="E21" s="19" t="s">
        <v>13</v>
      </c>
      <c r="F21" s="19" t="s">
        <v>14</v>
      </c>
      <c r="G21" s="19" t="s">
        <v>51</v>
      </c>
      <c r="H21" s="34">
        <v>23</v>
      </c>
      <c r="I21" s="19" t="s">
        <v>52</v>
      </c>
      <c r="J21" s="19" t="s">
        <v>53</v>
      </c>
      <c r="K21" s="34"/>
      <c r="L21" s="36">
        <f t="shared" si="0"/>
        <v>2.1454675289082927</v>
      </c>
      <c r="M21" s="37"/>
      <c r="N21" s="37"/>
      <c r="O21" s="37"/>
      <c r="P21" s="37"/>
      <c r="Q21" s="37"/>
      <c r="R21" s="41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5.75" thickBot="1">
      <c r="A22" s="32" t="s">
        <v>10</v>
      </c>
      <c r="B22" s="42" t="s">
        <v>54</v>
      </c>
      <c r="C22" s="43">
        <v>44251.709027777775</v>
      </c>
      <c r="D22" s="32" t="s">
        <v>55</v>
      </c>
      <c r="E22" s="19" t="s">
        <v>13</v>
      </c>
      <c r="F22" s="19" t="s">
        <v>14</v>
      </c>
      <c r="G22" s="19" t="s">
        <v>15</v>
      </c>
      <c r="H22" s="34">
        <v>45</v>
      </c>
      <c r="I22" s="19" t="s">
        <v>56</v>
      </c>
      <c r="J22" s="19" t="s">
        <v>57</v>
      </c>
      <c r="K22" s="34"/>
      <c r="L22" s="3">
        <f t="shared" si="0"/>
        <v>0.19707201649379827</v>
      </c>
      <c r="M22" s="37"/>
      <c r="N22" s="37"/>
      <c r="O22" s="37"/>
      <c r="P22" s="37"/>
      <c r="Q22" s="37"/>
      <c r="R22" s="41"/>
      <c r="S22" s="44" t="s">
        <v>1510</v>
      </c>
      <c r="T22" s="6"/>
      <c r="U22" s="6"/>
      <c r="V22" s="6"/>
      <c r="W22" s="6"/>
      <c r="X22" s="6"/>
      <c r="Y22" s="6"/>
      <c r="Z22" s="6"/>
      <c r="AA22" s="6"/>
      <c r="AB22" s="6"/>
    </row>
    <row r="23" spans="1:28" ht="15">
      <c r="A23" s="19" t="s">
        <v>10</v>
      </c>
      <c r="B23" s="24" t="s">
        <v>58</v>
      </c>
      <c r="C23" s="25">
        <v>44251.696527777778</v>
      </c>
      <c r="D23" s="24" t="s">
        <v>59</v>
      </c>
      <c r="E23" s="26" t="s">
        <v>13</v>
      </c>
      <c r="F23" s="26" t="s">
        <v>14</v>
      </c>
      <c r="G23" s="26" t="s">
        <v>60</v>
      </c>
      <c r="H23" s="27">
        <v>313</v>
      </c>
      <c r="I23" s="26" t="s">
        <v>61</v>
      </c>
      <c r="J23" s="26" t="s">
        <v>57</v>
      </c>
      <c r="K23" s="27"/>
      <c r="L23" s="28">
        <f t="shared" si="0"/>
        <v>1.4471235875204519E-2</v>
      </c>
      <c r="M23" s="29"/>
      <c r="N23" s="30" t="s">
        <v>271</v>
      </c>
      <c r="O23" s="30" t="s">
        <v>23</v>
      </c>
      <c r="P23" s="30" t="s">
        <v>1498</v>
      </c>
      <c r="Q23" s="30" t="s">
        <v>1495</v>
      </c>
      <c r="R23" s="31" t="s">
        <v>1499</v>
      </c>
      <c r="S23" s="45">
        <f>(C22 - C23)*24</f>
        <v>0.29999999993015081</v>
      </c>
      <c r="T23" s="6"/>
      <c r="U23" s="6"/>
      <c r="V23" s="6"/>
      <c r="W23" s="6"/>
      <c r="X23" s="6"/>
      <c r="Y23" s="6"/>
      <c r="Z23" s="6"/>
      <c r="AA23" s="6"/>
      <c r="AB23" s="6"/>
    </row>
    <row r="24" spans="1:28" ht="15">
      <c r="A24" s="19" t="s">
        <v>10</v>
      </c>
      <c r="B24" s="32" t="s">
        <v>33</v>
      </c>
      <c r="C24" s="33">
        <v>44251.684027777781</v>
      </c>
      <c r="D24" s="32" t="s">
        <v>62</v>
      </c>
      <c r="E24" s="19" t="s">
        <v>13</v>
      </c>
      <c r="F24" s="19" t="s">
        <v>14</v>
      </c>
      <c r="G24" s="19" t="s">
        <v>63</v>
      </c>
      <c r="H24" s="34">
        <v>316</v>
      </c>
      <c r="I24" s="19" t="s">
        <v>64</v>
      </c>
      <c r="J24" s="19" t="s">
        <v>65</v>
      </c>
      <c r="K24" s="34"/>
      <c r="L24" s="36">
        <f t="shared" si="0"/>
        <v>4.8467539844107757</v>
      </c>
      <c r="M24" s="37"/>
      <c r="N24" s="38" t="s">
        <v>1500</v>
      </c>
      <c r="O24" s="38" t="s">
        <v>1497</v>
      </c>
      <c r="P24" s="39">
        <f>SUM(L23:L25)</f>
        <v>7.2114849049887084</v>
      </c>
      <c r="Q24" s="36">
        <f>11.2</f>
        <v>11.2</v>
      </c>
      <c r="R24" s="46">
        <f>(C23 - C25)*24</f>
        <v>0.48333333333721384</v>
      </c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5.75" thickBot="1">
      <c r="A25" s="19" t="s">
        <v>10</v>
      </c>
      <c r="B25" s="42" t="s">
        <v>49</v>
      </c>
      <c r="C25" s="43">
        <v>44251.676388888889</v>
      </c>
      <c r="D25" s="42" t="s">
        <v>66</v>
      </c>
      <c r="E25" s="47" t="s">
        <v>13</v>
      </c>
      <c r="F25" s="47" t="s">
        <v>14</v>
      </c>
      <c r="G25" s="47" t="s">
        <v>67</v>
      </c>
      <c r="H25" s="48">
        <v>112</v>
      </c>
      <c r="I25" s="47" t="s">
        <v>68</v>
      </c>
      <c r="J25" s="47" t="s">
        <v>69</v>
      </c>
      <c r="K25" s="48"/>
      <c r="L25" s="49">
        <f t="shared" si="0"/>
        <v>2.3502596847027291</v>
      </c>
      <c r="M25" s="50"/>
      <c r="N25" s="50"/>
      <c r="O25" s="50"/>
      <c r="P25" s="50"/>
      <c r="Q25" s="50"/>
      <c r="R25" s="51"/>
      <c r="S25" s="44" t="s">
        <v>1510</v>
      </c>
      <c r="T25" s="6"/>
      <c r="U25" s="6"/>
      <c r="V25" s="6"/>
      <c r="W25" s="6"/>
      <c r="X25" s="6"/>
      <c r="Y25" s="6"/>
      <c r="Z25" s="6"/>
      <c r="AA25" s="6"/>
      <c r="AB25" s="6"/>
    </row>
    <row r="26" spans="1:28" ht="15">
      <c r="A26" s="19" t="s">
        <v>10</v>
      </c>
      <c r="B26" s="24" t="s">
        <v>58</v>
      </c>
      <c r="C26" s="25">
        <v>44251.645833333336</v>
      </c>
      <c r="D26" s="24" t="s">
        <v>70</v>
      </c>
      <c r="E26" s="26" t="s">
        <v>13</v>
      </c>
      <c r="F26" s="26" t="s">
        <v>14</v>
      </c>
      <c r="G26" s="26" t="s">
        <v>71</v>
      </c>
      <c r="H26" s="27">
        <v>345</v>
      </c>
      <c r="I26" s="26" t="s">
        <v>72</v>
      </c>
      <c r="J26" s="26" t="s">
        <v>73</v>
      </c>
      <c r="K26" s="27"/>
      <c r="L26" s="28">
        <f t="shared" si="0"/>
        <v>0.18146673205375577</v>
      </c>
      <c r="M26" s="29"/>
      <c r="N26" s="30" t="s">
        <v>271</v>
      </c>
      <c r="O26" s="30" t="s">
        <v>23</v>
      </c>
      <c r="P26" s="30" t="s">
        <v>1498</v>
      </c>
      <c r="Q26" s="30" t="s">
        <v>1495</v>
      </c>
      <c r="R26" s="31" t="s">
        <v>1499</v>
      </c>
      <c r="S26" s="45">
        <f>(C25 - C26)*24</f>
        <v>0.73333333327900618</v>
      </c>
      <c r="T26" s="6"/>
      <c r="U26" s="6"/>
      <c r="V26" s="6"/>
      <c r="W26" s="6"/>
      <c r="X26" s="6"/>
      <c r="Y26" s="6"/>
      <c r="Z26" s="6"/>
      <c r="AA26" s="6"/>
      <c r="AB26" s="6"/>
    </row>
    <row r="27" spans="1:28" ht="15">
      <c r="A27" s="19" t="s">
        <v>10</v>
      </c>
      <c r="B27" s="32" t="s">
        <v>33</v>
      </c>
      <c r="C27" s="33">
        <v>44251.640972222223</v>
      </c>
      <c r="D27" s="32" t="s">
        <v>74</v>
      </c>
      <c r="E27" s="19" t="s">
        <v>13</v>
      </c>
      <c r="F27" s="19" t="s">
        <v>14</v>
      </c>
      <c r="G27" s="19" t="s">
        <v>75</v>
      </c>
      <c r="H27" s="34">
        <v>74</v>
      </c>
      <c r="I27" s="19" t="s">
        <v>76</v>
      </c>
      <c r="J27" s="19" t="s">
        <v>77</v>
      </c>
      <c r="K27" s="34"/>
      <c r="L27" s="36">
        <f t="shared" si="0"/>
        <v>0.77520068710309753</v>
      </c>
      <c r="M27" s="37"/>
      <c r="N27" s="38" t="s">
        <v>1501</v>
      </c>
      <c r="O27" s="38" t="s">
        <v>1500</v>
      </c>
      <c r="P27" s="39">
        <f>SUM(L26:L29)</f>
        <v>9.0521650830211318</v>
      </c>
      <c r="Q27" s="36">
        <f>11</f>
        <v>11</v>
      </c>
      <c r="R27" s="46">
        <f>(C26 - C29)*24</f>
        <v>0.58333333331393078</v>
      </c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">
      <c r="A28" s="20" t="s">
        <v>10</v>
      </c>
      <c r="B28" s="32" t="s">
        <v>33</v>
      </c>
      <c r="C28" s="33">
        <v>44251.629166666666</v>
      </c>
      <c r="D28" s="32" t="s">
        <v>78</v>
      </c>
      <c r="E28" s="19" t="s">
        <v>13</v>
      </c>
      <c r="F28" s="19" t="s">
        <v>14</v>
      </c>
      <c r="G28" s="19" t="s">
        <v>75</v>
      </c>
      <c r="H28" s="34">
        <v>114</v>
      </c>
      <c r="I28" s="19" t="s">
        <v>79</v>
      </c>
      <c r="J28" s="19" t="s">
        <v>80</v>
      </c>
      <c r="K28" s="34"/>
      <c r="L28" s="36">
        <f t="shared" si="0"/>
        <v>5.4439622977566842</v>
      </c>
      <c r="M28" s="37"/>
      <c r="N28" s="37"/>
      <c r="O28" s="37"/>
      <c r="P28" s="37"/>
      <c r="Q28" s="37"/>
      <c r="R28" s="41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5.75" thickBot="1">
      <c r="A29" s="20" t="s">
        <v>10</v>
      </c>
      <c r="B29" s="42" t="s">
        <v>49</v>
      </c>
      <c r="C29" s="43">
        <v>44251.621527777781</v>
      </c>
      <c r="D29" s="42" t="s">
        <v>81</v>
      </c>
      <c r="E29" s="47" t="s">
        <v>13</v>
      </c>
      <c r="F29" s="47" t="s">
        <v>14</v>
      </c>
      <c r="G29" s="47" t="s">
        <v>67</v>
      </c>
      <c r="H29" s="48">
        <v>341</v>
      </c>
      <c r="I29" s="47" t="s">
        <v>82</v>
      </c>
      <c r="J29" s="47" t="s">
        <v>83</v>
      </c>
      <c r="K29" s="48"/>
      <c r="L29" s="49">
        <f t="shared" si="0"/>
        <v>2.6515353661075935</v>
      </c>
      <c r="M29" s="50"/>
      <c r="N29" s="50"/>
      <c r="O29" s="50"/>
      <c r="P29" s="50"/>
      <c r="Q29" s="50"/>
      <c r="R29" s="51"/>
      <c r="S29" s="44" t="s">
        <v>1510</v>
      </c>
      <c r="T29" s="6"/>
      <c r="U29" s="6"/>
      <c r="V29" s="6"/>
      <c r="W29" s="6"/>
      <c r="X29" s="6"/>
      <c r="Y29" s="6"/>
      <c r="Z29" s="6"/>
      <c r="AA29" s="6"/>
      <c r="AB29" s="6"/>
    </row>
    <row r="30" spans="1:28" ht="15">
      <c r="A30" s="20" t="s">
        <v>10</v>
      </c>
      <c r="B30" s="24" t="s">
        <v>58</v>
      </c>
      <c r="C30" s="25">
        <v>44251.585416666669</v>
      </c>
      <c r="D30" s="24" t="s">
        <v>84</v>
      </c>
      <c r="E30" s="26" t="s">
        <v>13</v>
      </c>
      <c r="F30" s="26" t="s">
        <v>14</v>
      </c>
      <c r="G30" s="26" t="s">
        <v>85</v>
      </c>
      <c r="H30" s="27">
        <v>349</v>
      </c>
      <c r="I30" s="26" t="s">
        <v>86</v>
      </c>
      <c r="J30" s="26" t="s">
        <v>87</v>
      </c>
      <c r="K30" s="27"/>
      <c r="L30" s="28">
        <f t="shared" si="0"/>
        <v>0.11811406016056515</v>
      </c>
      <c r="M30" s="29"/>
      <c r="N30" s="30" t="s">
        <v>271</v>
      </c>
      <c r="O30" s="30" t="s">
        <v>23</v>
      </c>
      <c r="P30" s="30" t="s">
        <v>1498</v>
      </c>
      <c r="Q30" s="30" t="s">
        <v>1495</v>
      </c>
      <c r="R30" s="31" t="s">
        <v>1499</v>
      </c>
      <c r="S30" s="45">
        <f>(C29 - C30)*24</f>
        <v>0.86666666669771075</v>
      </c>
      <c r="T30" s="6"/>
      <c r="U30" s="6"/>
      <c r="V30" s="6"/>
      <c r="W30" s="6"/>
      <c r="X30" s="6"/>
      <c r="Y30" s="6"/>
      <c r="Z30" s="6"/>
      <c r="AA30" s="6"/>
      <c r="AB30" s="6"/>
    </row>
    <row r="31" spans="1:28" ht="15">
      <c r="A31" s="20" t="s">
        <v>10</v>
      </c>
      <c r="B31" s="32" t="s">
        <v>49</v>
      </c>
      <c r="C31" s="33">
        <v>44251.506249999999</v>
      </c>
      <c r="D31" s="32" t="s">
        <v>88</v>
      </c>
      <c r="E31" s="19" t="s">
        <v>13</v>
      </c>
      <c r="F31" s="19" t="s">
        <v>14</v>
      </c>
      <c r="G31" s="19" t="s">
        <v>89</v>
      </c>
      <c r="H31" s="34">
        <v>334</v>
      </c>
      <c r="I31" s="19" t="s">
        <v>90</v>
      </c>
      <c r="J31" s="19" t="s">
        <v>91</v>
      </c>
      <c r="K31" s="34"/>
      <c r="L31" s="36">
        <f t="shared" si="0"/>
        <v>28.917813440668766</v>
      </c>
      <c r="M31" s="37"/>
      <c r="N31" s="38" t="s">
        <v>1502</v>
      </c>
      <c r="O31" s="38" t="s">
        <v>1501</v>
      </c>
      <c r="P31" s="39">
        <f>SUM(L30:L32)</f>
        <v>29.228272976602128</v>
      </c>
      <c r="Q31" s="36">
        <f>6.3</f>
        <v>6.3</v>
      </c>
      <c r="R31" s="46">
        <f>(C30 - C32)*24</f>
        <v>2.8833333333022892</v>
      </c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5.75" thickBot="1">
      <c r="A32" s="20" t="s">
        <v>10</v>
      </c>
      <c r="B32" s="42" t="s">
        <v>11</v>
      </c>
      <c r="C32" s="43">
        <v>44251.465277777781</v>
      </c>
      <c r="D32" s="42" t="s">
        <v>92</v>
      </c>
      <c r="E32" s="47" t="s">
        <v>13</v>
      </c>
      <c r="F32" s="47" t="s">
        <v>14</v>
      </c>
      <c r="G32" s="47" t="s">
        <v>15</v>
      </c>
      <c r="H32" s="48">
        <v>298</v>
      </c>
      <c r="I32" s="47" t="s">
        <v>93</v>
      </c>
      <c r="J32" s="47" t="s">
        <v>94</v>
      </c>
      <c r="K32" s="48"/>
      <c r="L32" s="49">
        <f t="shared" si="0"/>
        <v>0.19234547577279781</v>
      </c>
      <c r="M32" s="50"/>
      <c r="N32" s="50"/>
      <c r="O32" s="50"/>
      <c r="P32" s="50"/>
      <c r="Q32" s="50"/>
      <c r="R32" s="51"/>
      <c r="S32" s="44" t="s">
        <v>1510</v>
      </c>
      <c r="T32" s="6"/>
      <c r="U32" s="6"/>
      <c r="V32" s="6"/>
      <c r="W32" s="6"/>
      <c r="X32" s="6"/>
      <c r="Y32" s="6"/>
      <c r="Z32" s="6"/>
      <c r="AA32" s="6"/>
      <c r="AB32" s="6"/>
    </row>
    <row r="33" spans="1:28" ht="15">
      <c r="A33" s="20" t="s">
        <v>10</v>
      </c>
      <c r="B33" s="24" t="s">
        <v>58</v>
      </c>
      <c r="C33" s="25">
        <v>44251.462500000001</v>
      </c>
      <c r="D33" s="24" t="s">
        <v>95</v>
      </c>
      <c r="E33" s="26" t="s">
        <v>13</v>
      </c>
      <c r="F33" s="26" t="s">
        <v>14</v>
      </c>
      <c r="G33" s="26" t="s">
        <v>96</v>
      </c>
      <c r="H33" s="27">
        <v>298</v>
      </c>
      <c r="I33" s="26" t="s">
        <v>97</v>
      </c>
      <c r="J33" s="26" t="s">
        <v>98</v>
      </c>
      <c r="K33" s="27"/>
      <c r="L33" s="28">
        <f t="shared" si="0"/>
        <v>3.321003018087818E-3</v>
      </c>
      <c r="M33" s="29"/>
      <c r="N33" s="30" t="s">
        <v>271</v>
      </c>
      <c r="O33" s="30" t="s">
        <v>23</v>
      </c>
      <c r="P33" s="30" t="s">
        <v>1498</v>
      </c>
      <c r="Q33" s="30" t="s">
        <v>1495</v>
      </c>
      <c r="R33" s="31" t="s">
        <v>1499</v>
      </c>
      <c r="S33" s="45">
        <f>(C32 - C33)*24</f>
        <v>6.6666666709352285E-2</v>
      </c>
      <c r="T33" s="6"/>
      <c r="U33" s="6"/>
      <c r="V33" s="6"/>
      <c r="W33" s="6"/>
      <c r="X33" s="6"/>
      <c r="Y33" s="6"/>
      <c r="Z33" s="6"/>
      <c r="AA33" s="6"/>
      <c r="AB33" s="6"/>
    </row>
    <row r="34" spans="1:28" ht="15">
      <c r="A34" s="20" t="s">
        <v>10</v>
      </c>
      <c r="B34" s="32" t="s">
        <v>33</v>
      </c>
      <c r="C34" s="33">
        <v>44251.349305555559</v>
      </c>
      <c r="D34" s="32" t="s">
        <v>99</v>
      </c>
      <c r="E34" s="19" t="s">
        <v>13</v>
      </c>
      <c r="F34" s="19" t="s">
        <v>14</v>
      </c>
      <c r="G34" s="19">
        <v>12</v>
      </c>
      <c r="H34" s="34">
        <v>64</v>
      </c>
      <c r="I34" s="19" t="s">
        <v>101</v>
      </c>
      <c r="J34" s="19" t="s">
        <v>102</v>
      </c>
      <c r="K34" s="34"/>
      <c r="L34" s="36">
        <f t="shared" si="0"/>
        <v>47.156807244241691</v>
      </c>
      <c r="M34" s="37"/>
      <c r="N34" s="38" t="s">
        <v>1503</v>
      </c>
      <c r="O34" s="38" t="s">
        <v>1502</v>
      </c>
      <c r="P34" s="39">
        <f>SUM(L33:L42)</f>
        <v>99.410530772595195</v>
      </c>
      <c r="Q34" s="39">
        <f>AVERAGE(G34:G41)</f>
        <v>11.512500000000001</v>
      </c>
      <c r="R34" s="46">
        <f>(C33 - C42)*24</f>
        <v>5.2999999999883585</v>
      </c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5">
      <c r="A35" s="20" t="s">
        <v>10</v>
      </c>
      <c r="B35" s="32" t="s">
        <v>33</v>
      </c>
      <c r="C35" s="33">
        <v>44251.331250000003</v>
      </c>
      <c r="D35" s="32" t="s">
        <v>103</v>
      </c>
      <c r="E35" s="19" t="s">
        <v>13</v>
      </c>
      <c r="F35" s="19" t="s">
        <v>14</v>
      </c>
      <c r="G35" s="19">
        <v>12</v>
      </c>
      <c r="H35" s="34">
        <v>32</v>
      </c>
      <c r="I35" s="19" t="s">
        <v>104</v>
      </c>
      <c r="J35" s="19" t="s">
        <v>105</v>
      </c>
      <c r="K35" s="34"/>
      <c r="L35" s="36">
        <f t="shared" si="0"/>
        <v>9.5443708211957041</v>
      </c>
      <c r="M35" s="37"/>
      <c r="N35" s="37"/>
      <c r="O35" s="37"/>
      <c r="P35" s="37"/>
      <c r="Q35" s="37"/>
      <c r="R35" s="41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5">
      <c r="A36" s="20" t="s">
        <v>10</v>
      </c>
      <c r="B36" s="32" t="s">
        <v>33</v>
      </c>
      <c r="C36" s="33">
        <v>44251.323611111111</v>
      </c>
      <c r="D36" s="32" t="s">
        <v>106</v>
      </c>
      <c r="E36" s="19" t="s">
        <v>13</v>
      </c>
      <c r="F36" s="19" t="s">
        <v>14</v>
      </c>
      <c r="G36" s="19">
        <v>10.7</v>
      </c>
      <c r="H36" s="34">
        <v>73</v>
      </c>
      <c r="I36" s="19" t="s">
        <v>107</v>
      </c>
      <c r="J36" s="19" t="s">
        <v>108</v>
      </c>
      <c r="K36" s="34"/>
      <c r="L36" s="36">
        <f t="shared" si="0"/>
        <v>3.6793463475666544</v>
      </c>
      <c r="M36" s="37"/>
      <c r="N36" s="37"/>
      <c r="O36" s="37"/>
      <c r="P36" s="37"/>
      <c r="Q36" s="37"/>
      <c r="R36" s="41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5">
      <c r="A37" s="20" t="s">
        <v>10</v>
      </c>
      <c r="B37" s="32" t="s">
        <v>33</v>
      </c>
      <c r="C37" s="33">
        <v>44251.293749999997</v>
      </c>
      <c r="D37" s="32" t="s">
        <v>109</v>
      </c>
      <c r="E37" s="19" t="s">
        <v>13</v>
      </c>
      <c r="F37" s="19" t="s">
        <v>14</v>
      </c>
      <c r="G37" s="19">
        <v>11.2</v>
      </c>
      <c r="H37" s="34">
        <v>105</v>
      </c>
      <c r="I37" s="19" t="s">
        <v>110</v>
      </c>
      <c r="J37" s="19" t="s">
        <v>111</v>
      </c>
      <c r="K37" s="34"/>
      <c r="L37" s="36">
        <f t="shared" si="0"/>
        <v>14.498173425054878</v>
      </c>
      <c r="M37" s="37"/>
      <c r="N37" s="37"/>
      <c r="O37" s="37"/>
      <c r="P37" s="37"/>
      <c r="Q37" s="37"/>
      <c r="R37" s="41"/>
      <c r="S37" s="6"/>
      <c r="T37" s="6"/>
      <c r="U37" s="392" t="s">
        <v>1541</v>
      </c>
      <c r="V37" s="392"/>
      <c r="W37" s="392"/>
      <c r="X37" s="6"/>
      <c r="Y37" s="6"/>
      <c r="Z37" s="6"/>
      <c r="AA37" s="6"/>
      <c r="AB37" s="6"/>
    </row>
    <row r="38" spans="1:28" ht="15">
      <c r="A38" s="20" t="s">
        <v>10</v>
      </c>
      <c r="B38" s="32" t="s">
        <v>33</v>
      </c>
      <c r="C38" s="33">
        <v>44251.286111111112</v>
      </c>
      <c r="D38" s="32" t="s">
        <v>112</v>
      </c>
      <c r="E38" s="19" t="s">
        <v>13</v>
      </c>
      <c r="F38" s="19" t="s">
        <v>14</v>
      </c>
      <c r="G38" s="19">
        <v>11.5</v>
      </c>
      <c r="H38" s="34">
        <v>148</v>
      </c>
      <c r="I38" s="19" t="s">
        <v>113</v>
      </c>
      <c r="J38" s="19" t="s">
        <v>114</v>
      </c>
      <c r="K38" s="34"/>
      <c r="L38" s="36">
        <f t="shared" si="0"/>
        <v>3.5783147342982979</v>
      </c>
      <c r="M38" s="37"/>
      <c r="N38" s="37"/>
      <c r="O38" s="37"/>
      <c r="P38" s="37"/>
      <c r="Q38" s="37"/>
      <c r="R38" s="41"/>
      <c r="S38" s="6"/>
      <c r="T38" s="6"/>
      <c r="U38" s="52" t="s">
        <v>1498</v>
      </c>
      <c r="V38" s="52" t="s">
        <v>1512</v>
      </c>
      <c r="W38" s="52" t="s">
        <v>1513</v>
      </c>
      <c r="X38" s="6"/>
      <c r="Y38" s="6"/>
      <c r="Z38" s="6"/>
      <c r="AA38" s="6"/>
      <c r="AB38" s="6"/>
    </row>
    <row r="39" spans="1:28" ht="15">
      <c r="A39" s="20" t="s">
        <v>10</v>
      </c>
      <c r="B39" s="32" t="s">
        <v>33</v>
      </c>
      <c r="C39" s="33">
        <v>44251.277777777781</v>
      </c>
      <c r="D39" s="32" t="s">
        <v>115</v>
      </c>
      <c r="E39" s="19" t="s">
        <v>13</v>
      </c>
      <c r="F39" s="19" t="s">
        <v>14</v>
      </c>
      <c r="G39" s="19">
        <v>11.2</v>
      </c>
      <c r="H39" s="34">
        <v>179</v>
      </c>
      <c r="I39" s="19" t="s">
        <v>116</v>
      </c>
      <c r="J39" s="19" t="s">
        <v>117</v>
      </c>
      <c r="K39" s="34"/>
      <c r="L39" s="36">
        <f t="shared" si="0"/>
        <v>4.1688103517003006</v>
      </c>
      <c r="M39" s="37"/>
      <c r="N39" s="37"/>
      <c r="O39" s="37"/>
      <c r="P39" s="37"/>
      <c r="Q39" s="37"/>
      <c r="R39" s="41"/>
      <c r="S39" s="6"/>
      <c r="T39" s="6"/>
      <c r="U39" s="53">
        <f>SUM(P14,P24,P27,P31,P34,P44,P48,P54,P58,P64,P69,P79,P84,P87)</f>
        <v>532.65782486435251</v>
      </c>
      <c r="V39" s="53">
        <f>SUM(R14,R24,R27,R31,R34,R44,R48,R54,R58,R64,R69,R79,R84,R87)</f>
        <v>42.316666666651145</v>
      </c>
      <c r="W39" s="53">
        <f>SUM(S23,S26,S30,S33,S43,S47,S53,S57,S63,S68,S78,S83,S86)</f>
        <v>9.8666666666977108</v>
      </c>
      <c r="X39" s="6"/>
      <c r="Y39" s="6"/>
      <c r="Z39" s="6"/>
      <c r="AA39" s="6"/>
      <c r="AB39" s="6"/>
    </row>
    <row r="40" spans="1:28" ht="15">
      <c r="A40" s="20" t="s">
        <v>10</v>
      </c>
      <c r="B40" s="32" t="s">
        <v>33</v>
      </c>
      <c r="C40" s="33">
        <v>44251.263194444444</v>
      </c>
      <c r="D40" s="32" t="s">
        <v>118</v>
      </c>
      <c r="E40" s="19" t="s">
        <v>13</v>
      </c>
      <c r="F40" s="19" t="s">
        <v>14</v>
      </c>
      <c r="G40" s="19">
        <v>11.3</v>
      </c>
      <c r="H40" s="34">
        <v>214</v>
      </c>
      <c r="I40" s="19" t="s">
        <v>120</v>
      </c>
      <c r="J40" s="19" t="s">
        <v>121</v>
      </c>
      <c r="K40" s="34"/>
      <c r="L40" s="36">
        <f t="shared" si="0"/>
        <v>6.876726416649376</v>
      </c>
      <c r="M40" s="37"/>
      <c r="N40" s="37"/>
      <c r="O40" s="37"/>
      <c r="P40" s="37"/>
      <c r="Q40" s="37"/>
      <c r="R40" s="41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5">
      <c r="A41" s="20" t="s">
        <v>10</v>
      </c>
      <c r="B41" s="32" t="s">
        <v>33</v>
      </c>
      <c r="C41" s="33">
        <v>44251.249305555553</v>
      </c>
      <c r="D41" s="32" t="s">
        <v>122</v>
      </c>
      <c r="E41" s="19" t="s">
        <v>13</v>
      </c>
      <c r="F41" s="19" t="s">
        <v>14</v>
      </c>
      <c r="G41" s="19">
        <v>12.2</v>
      </c>
      <c r="H41" s="34">
        <v>247</v>
      </c>
      <c r="I41" s="19" t="s">
        <v>123</v>
      </c>
      <c r="J41" s="19" t="s">
        <v>124</v>
      </c>
      <c r="K41" s="34"/>
      <c r="L41" s="36">
        <f t="shared" si="0"/>
        <v>7.0902442895789992</v>
      </c>
      <c r="M41" s="37"/>
      <c r="N41" s="37"/>
      <c r="O41" s="37"/>
      <c r="P41" s="37"/>
      <c r="Q41" s="37"/>
      <c r="R41" s="41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5.75" thickBot="1">
      <c r="A42" s="20" t="s">
        <v>10</v>
      </c>
      <c r="B42" s="42" t="s">
        <v>49</v>
      </c>
      <c r="C42" s="43">
        <v>44251.241666666669</v>
      </c>
      <c r="D42" s="42" t="s">
        <v>125</v>
      </c>
      <c r="E42" s="47" t="s">
        <v>13</v>
      </c>
      <c r="F42" s="47" t="s">
        <v>14</v>
      </c>
      <c r="G42" s="47">
        <v>7.5</v>
      </c>
      <c r="H42" s="48">
        <v>83</v>
      </c>
      <c r="I42" s="47" t="s">
        <v>126</v>
      </c>
      <c r="J42" s="47" t="s">
        <v>127</v>
      </c>
      <c r="K42" s="48"/>
      <c r="L42" s="49">
        <f t="shared" si="0"/>
        <v>2.8144161392912022</v>
      </c>
      <c r="M42" s="50"/>
      <c r="N42" s="50"/>
      <c r="O42" s="50"/>
      <c r="P42" s="50"/>
      <c r="Q42" s="50"/>
      <c r="R42" s="51"/>
      <c r="S42" s="44" t="s">
        <v>1510</v>
      </c>
      <c r="T42" s="6"/>
      <c r="U42" s="6"/>
      <c r="V42" s="6"/>
      <c r="W42" s="6"/>
      <c r="X42" s="6"/>
      <c r="Y42" s="6"/>
      <c r="Z42" s="6"/>
      <c r="AA42" s="6"/>
      <c r="AB42" s="6"/>
    </row>
    <row r="43" spans="1:28" ht="15">
      <c r="A43" s="20" t="s">
        <v>10</v>
      </c>
      <c r="B43" s="24" t="s">
        <v>58</v>
      </c>
      <c r="C43" s="25">
        <v>44251.190972222219</v>
      </c>
      <c r="D43" s="24" t="s">
        <v>128</v>
      </c>
      <c r="E43" s="26" t="s">
        <v>13</v>
      </c>
      <c r="F43" s="26" t="s">
        <v>14</v>
      </c>
      <c r="G43" s="26" t="s">
        <v>129</v>
      </c>
      <c r="H43" s="27">
        <v>328</v>
      </c>
      <c r="I43" s="26" t="s">
        <v>130</v>
      </c>
      <c r="J43" s="26" t="s">
        <v>131</v>
      </c>
      <c r="K43" s="27"/>
      <c r="L43" s="28">
        <f t="shared" si="0"/>
        <v>0.35644428050452176</v>
      </c>
      <c r="M43" s="29"/>
      <c r="N43" s="30" t="s">
        <v>271</v>
      </c>
      <c r="O43" s="30" t="s">
        <v>23</v>
      </c>
      <c r="P43" s="30" t="s">
        <v>1498</v>
      </c>
      <c r="Q43" s="30" t="s">
        <v>1495</v>
      </c>
      <c r="R43" s="31" t="s">
        <v>1499</v>
      </c>
      <c r="S43" s="45">
        <f>(C42 - C43)*24</f>
        <v>1.216666666790843</v>
      </c>
      <c r="T43" s="6"/>
      <c r="U43" s="6"/>
      <c r="V43" s="6"/>
      <c r="W43" s="6"/>
      <c r="X43" s="6"/>
      <c r="Y43" s="6"/>
      <c r="Z43" s="6"/>
      <c r="AA43" s="6"/>
      <c r="AB43" s="6"/>
    </row>
    <row r="44" spans="1:28" ht="15">
      <c r="A44" s="20" t="s">
        <v>10</v>
      </c>
      <c r="B44" s="32" t="s">
        <v>33</v>
      </c>
      <c r="C44" s="33">
        <v>44250.976388888892</v>
      </c>
      <c r="D44" s="32" t="s">
        <v>132</v>
      </c>
      <c r="E44" s="19" t="s">
        <v>13</v>
      </c>
      <c r="F44" s="19" t="s">
        <v>14</v>
      </c>
      <c r="G44" s="19">
        <v>3.9</v>
      </c>
      <c r="H44" s="34">
        <v>349</v>
      </c>
      <c r="I44" s="19" t="s">
        <v>133</v>
      </c>
      <c r="J44" s="19" t="s">
        <v>134</v>
      </c>
      <c r="K44" s="34"/>
      <c r="L44" s="36">
        <f t="shared" si="0"/>
        <v>22.389281455166543</v>
      </c>
      <c r="M44" s="37"/>
      <c r="N44" s="38" t="s">
        <v>1504</v>
      </c>
      <c r="O44" s="38" t="s">
        <v>1503</v>
      </c>
      <c r="P44" s="39">
        <f>SUM(L43:L46)</f>
        <v>25.175209700752042</v>
      </c>
      <c r="Q44" s="39">
        <f>AVERAGE(G44:G46)</f>
        <v>3.7999999999999994</v>
      </c>
      <c r="R44" s="46">
        <f>(C43 - C46)*24</f>
        <v>5.4833333332207985</v>
      </c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5">
      <c r="A45" s="20" t="s">
        <v>10</v>
      </c>
      <c r="B45" s="32" t="s">
        <v>28</v>
      </c>
      <c r="C45" s="33">
        <v>44250.967361111114</v>
      </c>
      <c r="D45" s="32" t="s">
        <v>135</v>
      </c>
      <c r="E45" s="19" t="s">
        <v>13</v>
      </c>
      <c r="F45" s="19" t="s">
        <v>14</v>
      </c>
      <c r="G45" s="19">
        <v>3.8</v>
      </c>
      <c r="H45" s="34">
        <v>5</v>
      </c>
      <c r="I45" s="19" t="s">
        <v>137</v>
      </c>
      <c r="J45" s="19" t="s">
        <v>138</v>
      </c>
      <c r="K45" s="34"/>
      <c r="L45" s="36">
        <f t="shared" si="0"/>
        <v>1.5541183061319668</v>
      </c>
      <c r="M45" s="37"/>
      <c r="N45" s="37"/>
      <c r="O45" s="37"/>
      <c r="P45" s="37"/>
      <c r="Q45" s="37"/>
      <c r="R45" s="41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5.75" thickBot="1">
      <c r="A46" s="20" t="s">
        <v>10</v>
      </c>
      <c r="B46" s="42" t="s">
        <v>49</v>
      </c>
      <c r="C46" s="43">
        <v>44250.962500000001</v>
      </c>
      <c r="D46" s="42" t="s">
        <v>139</v>
      </c>
      <c r="E46" s="47" t="s">
        <v>13</v>
      </c>
      <c r="F46" s="47" t="s">
        <v>14</v>
      </c>
      <c r="G46" s="47">
        <v>3.7</v>
      </c>
      <c r="H46" s="48">
        <v>19</v>
      </c>
      <c r="I46" s="47" t="s">
        <v>140</v>
      </c>
      <c r="J46" s="47" t="s">
        <v>141</v>
      </c>
      <c r="K46" s="48"/>
      <c r="L46" s="49">
        <f t="shared" si="0"/>
        <v>0.87536565894900875</v>
      </c>
      <c r="M46" s="50"/>
      <c r="N46" s="50"/>
      <c r="O46" s="50"/>
      <c r="P46" s="50"/>
      <c r="Q46" s="50"/>
      <c r="R46" s="51"/>
      <c r="S46" s="44" t="s">
        <v>1510</v>
      </c>
      <c r="T46" s="6"/>
      <c r="U46" s="6"/>
      <c r="V46" s="6"/>
      <c r="W46" s="6"/>
      <c r="X46" s="6"/>
      <c r="Y46" s="6"/>
      <c r="Z46" s="6"/>
      <c r="AA46" s="6"/>
      <c r="AB46" s="6"/>
    </row>
    <row r="47" spans="1:28" ht="15">
      <c r="A47" s="20" t="s">
        <v>10</v>
      </c>
      <c r="B47" s="24" t="s">
        <v>58</v>
      </c>
      <c r="C47" s="25">
        <v>44250.952777777777</v>
      </c>
      <c r="D47" s="24" t="s">
        <v>142</v>
      </c>
      <c r="E47" s="26" t="s">
        <v>13</v>
      </c>
      <c r="F47" s="26" t="s">
        <v>14</v>
      </c>
      <c r="G47" s="26" t="s">
        <v>143</v>
      </c>
      <c r="H47" s="27">
        <v>333</v>
      </c>
      <c r="I47" s="26" t="s">
        <v>144</v>
      </c>
      <c r="J47" s="26" t="s">
        <v>145</v>
      </c>
      <c r="K47" s="27"/>
      <c r="L47" s="28">
        <f t="shared" si="0"/>
        <v>0.69783685542359242</v>
      </c>
      <c r="M47" s="29"/>
      <c r="N47" s="30" t="s">
        <v>271</v>
      </c>
      <c r="O47" s="30" t="s">
        <v>23</v>
      </c>
      <c r="P47" s="30" t="s">
        <v>1498</v>
      </c>
      <c r="Q47" s="30" t="s">
        <v>1495</v>
      </c>
      <c r="R47" s="31" t="s">
        <v>1499</v>
      </c>
      <c r="S47" s="45">
        <f>(C46 - C47)*24</f>
        <v>0.2333333333954215</v>
      </c>
      <c r="T47" s="6"/>
      <c r="U47" s="6"/>
      <c r="V47" s="6"/>
      <c r="W47" s="6"/>
      <c r="X47" s="6"/>
      <c r="Y47" s="6"/>
      <c r="Z47" s="6"/>
      <c r="AA47" s="6"/>
      <c r="AB47" s="6"/>
    </row>
    <row r="48" spans="1:28" ht="15">
      <c r="A48" s="20" t="s">
        <v>10</v>
      </c>
      <c r="B48" s="32" t="s">
        <v>33</v>
      </c>
      <c r="C48" s="33">
        <v>44250.909722222219</v>
      </c>
      <c r="D48" s="32" t="s">
        <v>146</v>
      </c>
      <c r="E48" s="19" t="s">
        <v>13</v>
      </c>
      <c r="F48" s="19" t="s">
        <v>14</v>
      </c>
      <c r="G48" s="19">
        <v>6</v>
      </c>
      <c r="H48" s="34">
        <v>37</v>
      </c>
      <c r="I48" s="19" t="s">
        <v>147</v>
      </c>
      <c r="J48" s="19" t="s">
        <v>148</v>
      </c>
      <c r="K48" s="34"/>
      <c r="L48" s="36">
        <f t="shared" si="0"/>
        <v>6.5444248467640609</v>
      </c>
      <c r="M48" s="37"/>
      <c r="N48" s="38" t="s">
        <v>1505</v>
      </c>
      <c r="O48" s="38" t="s">
        <v>1504</v>
      </c>
      <c r="P48" s="39">
        <f>SUM(L47:L52)</f>
        <v>11.437715754864136</v>
      </c>
      <c r="Q48" s="39">
        <f>AVERAGE(G48:G50)</f>
        <v>5.7666666666666666</v>
      </c>
      <c r="R48" s="46">
        <f>(C47 - C52)*24</f>
        <v>1.6999999999534339</v>
      </c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5">
      <c r="A49" s="20" t="s">
        <v>10</v>
      </c>
      <c r="B49" s="32" t="s">
        <v>33</v>
      </c>
      <c r="C49" s="33">
        <v>44250.898611111108</v>
      </c>
      <c r="D49" s="32" t="s">
        <v>149</v>
      </c>
      <c r="E49" s="19" t="s">
        <v>13</v>
      </c>
      <c r="F49" s="19" t="s">
        <v>14</v>
      </c>
      <c r="G49" s="19">
        <v>6.5</v>
      </c>
      <c r="H49" s="34">
        <v>4</v>
      </c>
      <c r="I49" s="19" t="s">
        <v>150</v>
      </c>
      <c r="J49" s="19" t="s">
        <v>151</v>
      </c>
      <c r="K49" s="34"/>
      <c r="L49" s="36">
        <f t="shared" si="0"/>
        <v>2.9918859903926749</v>
      </c>
      <c r="M49" s="37"/>
      <c r="N49" s="37"/>
      <c r="O49" s="37"/>
      <c r="P49" s="37"/>
      <c r="Q49" s="37"/>
      <c r="R49" s="41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ht="15">
      <c r="A50" s="20" t="s">
        <v>10</v>
      </c>
      <c r="B50" s="32" t="s">
        <v>49</v>
      </c>
      <c r="C50" s="33">
        <v>44250.89166666667</v>
      </c>
      <c r="D50" s="32" t="s">
        <v>152</v>
      </c>
      <c r="E50" s="19" t="s">
        <v>13</v>
      </c>
      <c r="F50" s="19" t="s">
        <v>14</v>
      </c>
      <c r="G50" s="19">
        <v>4.8</v>
      </c>
      <c r="H50" s="34">
        <v>193</v>
      </c>
      <c r="I50" s="19" t="s">
        <v>153</v>
      </c>
      <c r="J50" s="19" t="s">
        <v>154</v>
      </c>
      <c r="K50" s="34"/>
      <c r="L50" s="36">
        <f t="shared" si="0"/>
        <v>1.0950497320556596</v>
      </c>
      <c r="M50" s="37"/>
      <c r="N50" s="37"/>
      <c r="O50" s="37"/>
      <c r="P50" s="37"/>
      <c r="Q50" s="37"/>
      <c r="R50" s="41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ht="15">
      <c r="A51" s="20" t="s">
        <v>10</v>
      </c>
      <c r="B51" s="32" t="s">
        <v>155</v>
      </c>
      <c r="C51" s="33">
        <v>44250.890972222223</v>
      </c>
      <c r="D51" s="32" t="s">
        <v>156</v>
      </c>
      <c r="E51" s="19" t="s">
        <v>13</v>
      </c>
      <c r="F51" s="19" t="s">
        <v>14</v>
      </c>
      <c r="G51" s="19" t="s">
        <v>60</v>
      </c>
      <c r="H51" s="34">
        <v>190</v>
      </c>
      <c r="I51" s="19" t="s">
        <v>157</v>
      </c>
      <c r="J51" s="19" t="s">
        <v>158</v>
      </c>
      <c r="K51" s="34"/>
      <c r="L51" s="36">
        <f t="shared" si="0"/>
        <v>0.10851833022814841</v>
      </c>
      <c r="M51" s="37"/>
      <c r="N51" s="37"/>
      <c r="O51" s="37"/>
      <c r="P51" s="37"/>
      <c r="Q51" s="37"/>
      <c r="R51" s="41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5.75" thickBot="1">
      <c r="A52" s="20" t="s">
        <v>10</v>
      </c>
      <c r="B52" s="42" t="s">
        <v>159</v>
      </c>
      <c r="C52" s="43">
        <v>44250.881944444445</v>
      </c>
      <c r="D52" s="42" t="s">
        <v>160</v>
      </c>
      <c r="E52" s="47" t="s">
        <v>13</v>
      </c>
      <c r="F52" s="47" t="s">
        <v>14</v>
      </c>
      <c r="G52" s="47" t="s">
        <v>60</v>
      </c>
      <c r="H52" s="48">
        <v>190</v>
      </c>
      <c r="I52" s="47" t="s">
        <v>157</v>
      </c>
      <c r="J52" s="47" t="s">
        <v>158</v>
      </c>
      <c r="K52" s="48"/>
      <c r="L52" s="49">
        <f t="shared" si="0"/>
        <v>0</v>
      </c>
      <c r="M52" s="50"/>
      <c r="N52" s="50"/>
      <c r="O52" s="50"/>
      <c r="P52" s="50"/>
      <c r="Q52" s="50"/>
      <c r="R52" s="51"/>
      <c r="S52" s="44" t="s">
        <v>1510</v>
      </c>
      <c r="T52" s="6"/>
      <c r="U52" s="6"/>
      <c r="V52" s="6"/>
      <c r="W52" s="6"/>
      <c r="X52" s="6"/>
      <c r="Y52" s="6"/>
      <c r="Z52" s="6"/>
      <c r="AA52" s="6"/>
      <c r="AB52" s="6"/>
    </row>
    <row r="53" spans="1:28" ht="15">
      <c r="A53" s="20" t="s">
        <v>10</v>
      </c>
      <c r="B53" s="24" t="s">
        <v>58</v>
      </c>
      <c r="C53" s="25">
        <v>44250.87222222222</v>
      </c>
      <c r="D53" s="24" t="s">
        <v>161</v>
      </c>
      <c r="E53" s="26" t="s">
        <v>13</v>
      </c>
      <c r="F53" s="26" t="s">
        <v>14</v>
      </c>
      <c r="G53" s="26" t="s">
        <v>60</v>
      </c>
      <c r="H53" s="27">
        <v>190</v>
      </c>
      <c r="I53" s="26" t="s">
        <v>162</v>
      </c>
      <c r="J53" s="26" t="s">
        <v>163</v>
      </c>
      <c r="K53" s="27"/>
      <c r="L53" s="28">
        <f t="shared" si="0"/>
        <v>2.8855578813280391E-2</v>
      </c>
      <c r="M53" s="29"/>
      <c r="N53" s="30" t="s">
        <v>271</v>
      </c>
      <c r="O53" s="30" t="s">
        <v>23</v>
      </c>
      <c r="P53" s="30" t="s">
        <v>1498</v>
      </c>
      <c r="Q53" s="30" t="s">
        <v>1495</v>
      </c>
      <c r="R53" s="31" t="s">
        <v>1499</v>
      </c>
      <c r="S53" s="45">
        <f>(C52 - C53)*24</f>
        <v>0.2333333333954215</v>
      </c>
      <c r="T53" s="6"/>
      <c r="U53" s="6"/>
      <c r="V53" s="6"/>
      <c r="W53" s="6"/>
      <c r="X53" s="6"/>
      <c r="Y53" s="6"/>
      <c r="Z53" s="6"/>
      <c r="AA53" s="6"/>
      <c r="AB53" s="6"/>
    </row>
    <row r="54" spans="1:28" ht="15">
      <c r="A54" s="20" t="s">
        <v>10</v>
      </c>
      <c r="B54" s="32" t="s">
        <v>33</v>
      </c>
      <c r="C54" s="33">
        <v>44250.868750000001</v>
      </c>
      <c r="D54" s="32" t="s">
        <v>164</v>
      </c>
      <c r="E54" s="19" t="s">
        <v>13</v>
      </c>
      <c r="F54" s="19" t="s">
        <v>14</v>
      </c>
      <c r="G54" s="19">
        <v>9.6999999999999993</v>
      </c>
      <c r="H54" s="34">
        <v>202</v>
      </c>
      <c r="I54" s="19" t="s">
        <v>165</v>
      </c>
      <c r="J54" s="19" t="s">
        <v>166</v>
      </c>
      <c r="K54" s="34"/>
      <c r="L54" s="36">
        <f t="shared" si="0"/>
        <v>0.80474336694811366</v>
      </c>
      <c r="M54" s="37"/>
      <c r="N54" s="38" t="s">
        <v>1506</v>
      </c>
      <c r="O54" s="38" t="s">
        <v>1505</v>
      </c>
      <c r="P54" s="39">
        <f>SUM(L53:L56)</f>
        <v>20.576636850109651</v>
      </c>
      <c r="Q54" s="39">
        <f>AVERAGE(G54:G56)</f>
        <v>9.6333333333333346</v>
      </c>
      <c r="R54" s="46">
        <f>(C53 - C56)*24</f>
        <v>1.0499999999301508</v>
      </c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15">
      <c r="A55" s="20" t="s">
        <v>10</v>
      </c>
      <c r="B55" s="32" t="s">
        <v>33</v>
      </c>
      <c r="C55" s="33">
        <v>44250.836111111108</v>
      </c>
      <c r="D55" s="32" t="s">
        <v>167</v>
      </c>
      <c r="E55" s="19" t="s">
        <v>13</v>
      </c>
      <c r="F55" s="19" t="s">
        <v>14</v>
      </c>
      <c r="G55" s="19">
        <v>11.9</v>
      </c>
      <c r="H55" s="34">
        <v>252</v>
      </c>
      <c r="I55" s="19" t="s">
        <v>169</v>
      </c>
      <c r="J55" s="19" t="s">
        <v>170</v>
      </c>
      <c r="K55" s="34"/>
      <c r="L55" s="36">
        <f t="shared" si="0"/>
        <v>16.448715348388401</v>
      </c>
      <c r="M55" s="37"/>
      <c r="N55" s="37"/>
      <c r="O55" s="37"/>
      <c r="P55" s="37"/>
      <c r="Q55" s="37"/>
      <c r="R55" s="41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ht="15.75" thickBot="1">
      <c r="A56" s="20" t="s">
        <v>10</v>
      </c>
      <c r="B56" s="42" t="s">
        <v>49</v>
      </c>
      <c r="C56" s="43">
        <v>44250.828472222223</v>
      </c>
      <c r="D56" s="42" t="s">
        <v>171</v>
      </c>
      <c r="E56" s="47" t="s">
        <v>13</v>
      </c>
      <c r="F56" s="47" t="s">
        <v>14</v>
      </c>
      <c r="G56" s="47">
        <v>7.3</v>
      </c>
      <c r="H56" s="48">
        <v>315</v>
      </c>
      <c r="I56" s="47" t="s">
        <v>172</v>
      </c>
      <c r="J56" s="47" t="s">
        <v>173</v>
      </c>
      <c r="K56" s="48"/>
      <c r="L56" s="49">
        <f t="shared" si="0"/>
        <v>3.2943225559598548</v>
      </c>
      <c r="M56" s="50"/>
      <c r="N56" s="50"/>
      <c r="O56" s="50"/>
      <c r="P56" s="50"/>
      <c r="Q56" s="50"/>
      <c r="R56" s="51"/>
      <c r="S56" s="44" t="s">
        <v>1510</v>
      </c>
      <c r="T56" s="6"/>
      <c r="U56" s="6"/>
      <c r="V56" s="6"/>
      <c r="W56" s="6"/>
      <c r="X56" s="6"/>
      <c r="Y56" s="6"/>
      <c r="Z56" s="6"/>
      <c r="AA56" s="6"/>
      <c r="AB56" s="6"/>
    </row>
    <row r="57" spans="1:28" ht="15">
      <c r="A57" s="20" t="s">
        <v>10</v>
      </c>
      <c r="B57" s="24" t="s">
        <v>58</v>
      </c>
      <c r="C57" s="25">
        <v>44250.772916666669</v>
      </c>
      <c r="D57" s="24" t="s">
        <v>174</v>
      </c>
      <c r="E57" s="26" t="s">
        <v>13</v>
      </c>
      <c r="F57" s="26" t="s">
        <v>14</v>
      </c>
      <c r="G57" s="26" t="s">
        <v>60</v>
      </c>
      <c r="H57" s="27">
        <v>323</v>
      </c>
      <c r="I57" s="26" t="s">
        <v>175</v>
      </c>
      <c r="J57" s="26" t="s">
        <v>176</v>
      </c>
      <c r="K57" s="27"/>
      <c r="L57" s="28">
        <f t="shared" si="0"/>
        <v>0.26203518037743961</v>
      </c>
      <c r="M57" s="29"/>
      <c r="N57" s="30" t="s">
        <v>271</v>
      </c>
      <c r="O57" s="30" t="s">
        <v>23</v>
      </c>
      <c r="P57" s="30" t="s">
        <v>1498</v>
      </c>
      <c r="Q57" s="30" t="s">
        <v>1495</v>
      </c>
      <c r="R57" s="31" t="s">
        <v>1499</v>
      </c>
      <c r="S57" s="45">
        <f>(C56 - C57)*24</f>
        <v>1.3333333333139308</v>
      </c>
      <c r="T57" s="6"/>
      <c r="U57" s="6"/>
      <c r="V57" s="6"/>
      <c r="W57" s="6"/>
      <c r="X57" s="6"/>
      <c r="Y57" s="6"/>
      <c r="Z57" s="6"/>
      <c r="AA57" s="6"/>
      <c r="AB57" s="6"/>
    </row>
    <row r="58" spans="1:28" ht="15">
      <c r="A58" s="20" t="s">
        <v>10</v>
      </c>
      <c r="B58" s="32" t="s">
        <v>33</v>
      </c>
      <c r="C58" s="33">
        <v>44250.768750000003</v>
      </c>
      <c r="D58" s="32" t="s">
        <v>177</v>
      </c>
      <c r="E58" s="19" t="s">
        <v>13</v>
      </c>
      <c r="F58" s="19" t="s">
        <v>14</v>
      </c>
      <c r="G58" s="19">
        <v>6.3</v>
      </c>
      <c r="H58" s="34">
        <v>216</v>
      </c>
      <c r="I58" s="19" t="s">
        <v>178</v>
      </c>
      <c r="J58" s="19" t="s">
        <v>179</v>
      </c>
      <c r="K58" s="34"/>
      <c r="L58" s="36">
        <f t="shared" si="0"/>
        <v>0.47999733091207175</v>
      </c>
      <c r="M58" s="37"/>
      <c r="N58" s="38" t="s">
        <v>1507</v>
      </c>
      <c r="O58" s="38" t="s">
        <v>1506</v>
      </c>
      <c r="P58" s="39">
        <f>SUM(L57:L62)</f>
        <v>31.334962178050105</v>
      </c>
      <c r="Q58" s="39">
        <f>AVERAGE(G59:G61)</f>
        <v>11.933333333333332</v>
      </c>
      <c r="R58" s="46">
        <f>(C57 - C62)*24</f>
        <v>1.6166666666977108</v>
      </c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ht="15">
      <c r="A59" s="20" t="s">
        <v>10</v>
      </c>
      <c r="B59" s="32" t="s">
        <v>33</v>
      </c>
      <c r="C59" s="33">
        <v>44250.761111111111</v>
      </c>
      <c r="D59" s="32" t="s">
        <v>180</v>
      </c>
      <c r="E59" s="19" t="s">
        <v>13</v>
      </c>
      <c r="F59" s="19" t="s">
        <v>14</v>
      </c>
      <c r="G59" s="19">
        <v>12.3</v>
      </c>
      <c r="H59" s="34">
        <v>24</v>
      </c>
      <c r="I59" s="19" t="s">
        <v>181</v>
      </c>
      <c r="J59" s="19" t="s">
        <v>182</v>
      </c>
      <c r="K59" s="34"/>
      <c r="L59" s="36">
        <f t="shared" si="0"/>
        <v>2.3187352024434258</v>
      </c>
      <c r="M59" s="37"/>
      <c r="N59" s="37"/>
      <c r="O59" s="37"/>
      <c r="P59" s="37"/>
      <c r="Q59" s="37"/>
      <c r="R59" s="41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ht="15">
      <c r="A60" s="20" t="s">
        <v>10</v>
      </c>
      <c r="B60" s="32" t="s">
        <v>33</v>
      </c>
      <c r="C60" s="33">
        <v>44250.727777777778</v>
      </c>
      <c r="D60" s="32" t="s">
        <v>183</v>
      </c>
      <c r="E60" s="19" t="s">
        <v>13</v>
      </c>
      <c r="F60" s="19" t="s">
        <v>14</v>
      </c>
      <c r="G60" s="19">
        <v>11.8</v>
      </c>
      <c r="H60" s="34">
        <v>353</v>
      </c>
      <c r="I60" s="19" t="s">
        <v>185</v>
      </c>
      <c r="J60" s="19" t="s">
        <v>186</v>
      </c>
      <c r="K60" s="34"/>
      <c r="L60" s="36">
        <f t="shared" si="0"/>
        <v>17.704359197586385</v>
      </c>
      <c r="M60" s="37"/>
      <c r="N60" s="37"/>
      <c r="O60" s="37"/>
      <c r="P60" s="37"/>
      <c r="Q60" s="37"/>
      <c r="R60" s="41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ht="15">
      <c r="A61" s="20" t="s">
        <v>10</v>
      </c>
      <c r="B61" s="32" t="s">
        <v>33</v>
      </c>
      <c r="C61" s="33">
        <v>44250.712500000001</v>
      </c>
      <c r="D61" s="32" t="s">
        <v>103</v>
      </c>
      <c r="E61" s="19" t="s">
        <v>13</v>
      </c>
      <c r="F61" s="19" t="s">
        <v>14</v>
      </c>
      <c r="G61" s="19">
        <v>11.7</v>
      </c>
      <c r="H61" s="34">
        <v>32</v>
      </c>
      <c r="I61" s="19" t="s">
        <v>188</v>
      </c>
      <c r="J61" s="19" t="s">
        <v>189</v>
      </c>
      <c r="K61" s="34"/>
      <c r="L61" s="36">
        <f t="shared" si="0"/>
        <v>7.8912577965246227</v>
      </c>
      <c r="M61" s="37"/>
      <c r="N61" s="37"/>
      <c r="O61" s="37"/>
      <c r="P61" s="37"/>
      <c r="Q61" s="37"/>
      <c r="R61" s="41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ht="15.75" thickBot="1">
      <c r="A62" s="20" t="s">
        <v>10</v>
      </c>
      <c r="B62" s="42" t="s">
        <v>49</v>
      </c>
      <c r="C62" s="43">
        <v>44250.705555555556</v>
      </c>
      <c r="D62" s="42" t="s">
        <v>190</v>
      </c>
      <c r="E62" s="47" t="s">
        <v>13</v>
      </c>
      <c r="F62" s="47" t="s">
        <v>14</v>
      </c>
      <c r="G62" s="47" t="s">
        <v>191</v>
      </c>
      <c r="H62" s="48">
        <v>161</v>
      </c>
      <c r="I62" s="47" t="s">
        <v>192</v>
      </c>
      <c r="J62" s="47" t="s">
        <v>193</v>
      </c>
      <c r="K62" s="48"/>
      <c r="L62" s="49">
        <f t="shared" si="0"/>
        <v>2.6785774702061591</v>
      </c>
      <c r="M62" s="50"/>
      <c r="N62" s="50"/>
      <c r="O62" s="50"/>
      <c r="P62" s="50"/>
      <c r="Q62" s="50"/>
      <c r="R62" s="51"/>
      <c r="S62" s="44" t="s">
        <v>1510</v>
      </c>
      <c r="T62" s="6"/>
      <c r="U62" s="6"/>
      <c r="V62" s="6"/>
      <c r="W62" s="6"/>
      <c r="X62" s="6"/>
      <c r="Y62" s="6"/>
      <c r="Z62" s="6"/>
      <c r="AA62" s="6"/>
      <c r="AB62" s="6"/>
    </row>
    <row r="63" spans="1:28" ht="15">
      <c r="A63" s="20" t="s">
        <v>10</v>
      </c>
      <c r="B63" s="24" t="s">
        <v>58</v>
      </c>
      <c r="C63" s="25">
        <v>44250.643750000003</v>
      </c>
      <c r="D63" s="24" t="s">
        <v>194</v>
      </c>
      <c r="E63" s="26" t="s">
        <v>13</v>
      </c>
      <c r="F63" s="26" t="s">
        <v>14</v>
      </c>
      <c r="G63" s="26" t="s">
        <v>15</v>
      </c>
      <c r="H63" s="27">
        <v>307</v>
      </c>
      <c r="I63" s="26" t="s">
        <v>195</v>
      </c>
      <c r="J63" s="26" t="s">
        <v>196</v>
      </c>
      <c r="K63" s="27"/>
      <c r="L63" s="28">
        <f t="shared" si="0"/>
        <v>9.4708011590953212E-2</v>
      </c>
      <c r="M63" s="29"/>
      <c r="N63" s="30" t="s">
        <v>271</v>
      </c>
      <c r="O63" s="30" t="s">
        <v>23</v>
      </c>
      <c r="P63" s="30" t="s">
        <v>1498</v>
      </c>
      <c r="Q63" s="30" t="s">
        <v>1495</v>
      </c>
      <c r="R63" s="31" t="s">
        <v>1499</v>
      </c>
      <c r="S63" s="45">
        <f>(C62 - C63)*24</f>
        <v>1.4833333332790062</v>
      </c>
      <c r="T63" s="6"/>
      <c r="U63" s="6"/>
      <c r="V63" s="6"/>
      <c r="W63" s="6"/>
      <c r="X63" s="6"/>
      <c r="Y63" s="6"/>
      <c r="Z63" s="6"/>
      <c r="AA63" s="6"/>
      <c r="AB63" s="6"/>
    </row>
    <row r="64" spans="1:28" ht="15">
      <c r="A64" s="20" t="s">
        <v>10</v>
      </c>
      <c r="B64" s="32" t="s">
        <v>33</v>
      </c>
      <c r="C64" s="33">
        <v>44250.640972222223</v>
      </c>
      <c r="D64" s="32" t="s">
        <v>197</v>
      </c>
      <c r="E64" s="19" t="s">
        <v>13</v>
      </c>
      <c r="F64" s="19" t="s">
        <v>14</v>
      </c>
      <c r="G64" s="19">
        <v>3.9</v>
      </c>
      <c r="H64" s="34">
        <v>285</v>
      </c>
      <c r="I64" s="19" t="s">
        <v>198</v>
      </c>
      <c r="J64" s="19" t="s">
        <v>199</v>
      </c>
      <c r="K64" s="34"/>
      <c r="L64" s="36">
        <f t="shared" si="0"/>
        <v>0.17460870486310862</v>
      </c>
      <c r="M64" s="37"/>
      <c r="N64" s="38" t="s">
        <v>1508</v>
      </c>
      <c r="O64" s="38" t="s">
        <v>1507</v>
      </c>
      <c r="P64" s="39">
        <f>SUM(L63:L67)</f>
        <v>30.743686843475473</v>
      </c>
      <c r="Q64" s="39">
        <f>AVERAGE(G65:G66)</f>
        <v>12.45</v>
      </c>
      <c r="R64" s="46">
        <f>(C63 - C67)*24</f>
        <v>1.4833333334536292</v>
      </c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ht="15">
      <c r="A65" s="20" t="s">
        <v>10</v>
      </c>
      <c r="B65" s="32" t="s">
        <v>33</v>
      </c>
      <c r="C65" s="33">
        <v>44250.602777777778</v>
      </c>
      <c r="D65" s="32" t="s">
        <v>200</v>
      </c>
      <c r="E65" s="19" t="s">
        <v>13</v>
      </c>
      <c r="F65" s="19" t="s">
        <v>14</v>
      </c>
      <c r="G65" s="19">
        <v>12.5</v>
      </c>
      <c r="H65" s="34">
        <v>236</v>
      </c>
      <c r="I65" s="19" t="s">
        <v>201</v>
      </c>
      <c r="J65" s="19" t="s">
        <v>202</v>
      </c>
      <c r="K65" s="34"/>
      <c r="L65" s="36">
        <f t="shared" si="0"/>
        <v>19.614067153963589</v>
      </c>
      <c r="M65" s="37"/>
      <c r="N65" s="37"/>
      <c r="O65" s="37"/>
      <c r="P65" s="37"/>
      <c r="Q65" s="37"/>
      <c r="R65" s="41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ht="15">
      <c r="A66" s="20" t="s">
        <v>10</v>
      </c>
      <c r="B66" s="32" t="s">
        <v>33</v>
      </c>
      <c r="C66" s="33">
        <v>44250.595833333333</v>
      </c>
      <c r="D66" s="32" t="s">
        <v>203</v>
      </c>
      <c r="E66" s="19" t="s">
        <v>13</v>
      </c>
      <c r="F66" s="19" t="s">
        <v>14</v>
      </c>
      <c r="G66" s="19">
        <v>12.4</v>
      </c>
      <c r="H66" s="34">
        <v>284</v>
      </c>
      <c r="I66" s="19" t="s">
        <v>204</v>
      </c>
      <c r="J66" s="19" t="s">
        <v>205</v>
      </c>
      <c r="K66" s="34"/>
      <c r="L66" s="36">
        <f t="shared" si="0"/>
        <v>3.6630255241093921</v>
      </c>
      <c r="M66" s="37"/>
      <c r="N66" s="37"/>
      <c r="O66" s="37"/>
      <c r="P66" s="37"/>
      <c r="Q66" s="37"/>
      <c r="R66" s="41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75" thickBot="1">
      <c r="A67" s="20" t="s">
        <v>10</v>
      </c>
      <c r="B67" s="42" t="s">
        <v>49</v>
      </c>
      <c r="C67" s="43">
        <v>44250.581944444442</v>
      </c>
      <c r="D67" s="42" t="s">
        <v>206</v>
      </c>
      <c r="E67" s="47" t="s">
        <v>13</v>
      </c>
      <c r="F67" s="47" t="s">
        <v>14</v>
      </c>
      <c r="G67" s="47" t="s">
        <v>136</v>
      </c>
      <c r="H67" s="48">
        <v>316</v>
      </c>
      <c r="I67" s="47" t="s">
        <v>207</v>
      </c>
      <c r="J67" s="47" t="s">
        <v>208</v>
      </c>
      <c r="K67" s="48"/>
      <c r="L67" s="49">
        <f t="shared" si="0"/>
        <v>7.1972774489484284</v>
      </c>
      <c r="M67" s="50"/>
      <c r="N67" s="50"/>
      <c r="O67" s="50"/>
      <c r="P67" s="50"/>
      <c r="Q67" s="50"/>
      <c r="R67" s="51"/>
      <c r="S67" s="44" t="s">
        <v>1510</v>
      </c>
      <c r="T67" s="6"/>
      <c r="U67" s="6"/>
      <c r="V67" s="6"/>
      <c r="W67" s="6"/>
      <c r="X67" s="6"/>
      <c r="Y67" s="6"/>
      <c r="Z67" s="6"/>
      <c r="AA67" s="6"/>
      <c r="AB67" s="6"/>
    </row>
    <row r="68" spans="1:28" ht="15">
      <c r="A68" s="20" t="s">
        <v>10</v>
      </c>
      <c r="B68" s="24" t="s">
        <v>58</v>
      </c>
      <c r="C68" s="25">
        <v>44250.547222222223</v>
      </c>
      <c r="D68" s="24" t="s">
        <v>209</v>
      </c>
      <c r="E68" s="26" t="s">
        <v>13</v>
      </c>
      <c r="F68" s="26" t="s">
        <v>14</v>
      </c>
      <c r="G68" s="26" t="s">
        <v>60</v>
      </c>
      <c r="H68" s="27">
        <v>1</v>
      </c>
      <c r="I68" s="26" t="s">
        <v>210</v>
      </c>
      <c r="J68" s="26" t="s">
        <v>211</v>
      </c>
      <c r="K68" s="27"/>
      <c r="L68" s="28">
        <f t="shared" si="0"/>
        <v>0.16590729450256922</v>
      </c>
      <c r="M68" s="29"/>
      <c r="N68" s="30" t="s">
        <v>271</v>
      </c>
      <c r="O68" s="30" t="s">
        <v>23</v>
      </c>
      <c r="P68" s="30" t="s">
        <v>1498</v>
      </c>
      <c r="Q68" s="30" t="s">
        <v>1495</v>
      </c>
      <c r="R68" s="31" t="s">
        <v>1499</v>
      </c>
      <c r="S68" s="45">
        <f>(C67 - C68)*24</f>
        <v>0.83333333325572312</v>
      </c>
      <c r="T68" s="6"/>
      <c r="U68" s="6"/>
      <c r="V68" s="6"/>
      <c r="W68" s="6"/>
      <c r="X68" s="6"/>
      <c r="Y68" s="6"/>
      <c r="Z68" s="6"/>
      <c r="AA68" s="6"/>
      <c r="AB68" s="6"/>
    </row>
    <row r="69" spans="1:28" ht="15">
      <c r="A69" s="20" t="s">
        <v>10</v>
      </c>
      <c r="B69" s="32" t="s">
        <v>33</v>
      </c>
      <c r="C69" s="33">
        <v>44250.54583333333</v>
      </c>
      <c r="D69" s="32" t="s">
        <v>212</v>
      </c>
      <c r="E69" s="19" t="s">
        <v>13</v>
      </c>
      <c r="F69" s="19" t="s">
        <v>14</v>
      </c>
      <c r="G69" s="19" t="s">
        <v>67</v>
      </c>
      <c r="H69" s="34">
        <v>111</v>
      </c>
      <c r="I69" s="19" t="s">
        <v>213</v>
      </c>
      <c r="J69" s="19" t="s">
        <v>214</v>
      </c>
      <c r="K69" s="34"/>
      <c r="L69" s="36">
        <f t="shared" si="0"/>
        <v>9.3562927393973483E-2</v>
      </c>
      <c r="M69" s="37"/>
      <c r="N69" s="38" t="s">
        <v>1509</v>
      </c>
      <c r="O69" s="38" t="s">
        <v>1508</v>
      </c>
      <c r="P69" s="39">
        <f>SUM(L68:L77)</f>
        <v>44.450658178680975</v>
      </c>
      <c r="Q69" s="39">
        <f>AVERAGE(G70:G76)</f>
        <v>11.62857142857143</v>
      </c>
      <c r="R69" s="46">
        <f>(C68 - C77)*24</f>
        <v>2.2000000000116415</v>
      </c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">
      <c r="A70" s="20" t="s">
        <v>10</v>
      </c>
      <c r="B70" s="32" t="s">
        <v>33</v>
      </c>
      <c r="C70" s="33">
        <v>44250.529166666667</v>
      </c>
      <c r="D70" s="32" t="s">
        <v>215</v>
      </c>
      <c r="E70" s="19" t="s">
        <v>13</v>
      </c>
      <c r="F70" s="19" t="s">
        <v>14</v>
      </c>
      <c r="G70" s="19">
        <v>11.6</v>
      </c>
      <c r="H70" s="34">
        <v>153</v>
      </c>
      <c r="I70" s="19" t="s">
        <v>217</v>
      </c>
      <c r="J70" s="19" t="s">
        <v>218</v>
      </c>
      <c r="K70" s="34"/>
      <c r="L70" s="36">
        <f t="shared" si="0"/>
        <v>8.4029426684424013</v>
      </c>
      <c r="M70" s="37"/>
      <c r="N70" s="37"/>
      <c r="O70" s="37"/>
      <c r="P70" s="37"/>
      <c r="Q70" s="37"/>
      <c r="R70" s="41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">
      <c r="A71" s="20" t="s">
        <v>10</v>
      </c>
      <c r="B71" s="32" t="s">
        <v>33</v>
      </c>
      <c r="C71" s="33">
        <v>44250.519444444442</v>
      </c>
      <c r="D71" s="32" t="s">
        <v>219</v>
      </c>
      <c r="E71" s="19" t="s">
        <v>13</v>
      </c>
      <c r="F71" s="19" t="s">
        <v>14</v>
      </c>
      <c r="G71" s="19">
        <v>11.6</v>
      </c>
      <c r="H71" s="34">
        <v>198</v>
      </c>
      <c r="I71" s="19" t="s">
        <v>220</v>
      </c>
      <c r="J71" s="19" t="s">
        <v>221</v>
      </c>
      <c r="K71" s="34"/>
      <c r="L71" s="36">
        <f t="shared" si="0"/>
        <v>4.9792572387335392</v>
      </c>
      <c r="M71" s="37"/>
      <c r="N71" s="37"/>
      <c r="O71" s="37"/>
      <c r="P71" s="37"/>
      <c r="Q71" s="37"/>
      <c r="R71" s="41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">
      <c r="A72" s="20" t="s">
        <v>10</v>
      </c>
      <c r="B72" s="32" t="s">
        <v>33</v>
      </c>
      <c r="C72" s="33">
        <v>44250.512499999997</v>
      </c>
      <c r="D72" s="32" t="s">
        <v>222</v>
      </c>
      <c r="E72" s="19" t="s">
        <v>13</v>
      </c>
      <c r="F72" s="19" t="s">
        <v>14</v>
      </c>
      <c r="G72" s="19">
        <v>11.2</v>
      </c>
      <c r="H72" s="34">
        <v>145</v>
      </c>
      <c r="I72" s="19" t="s">
        <v>223</v>
      </c>
      <c r="J72" s="19" t="s">
        <v>224</v>
      </c>
      <c r="K72" s="34"/>
      <c r="L72" s="36">
        <f t="shared" si="0"/>
        <v>3.1641568861923779</v>
      </c>
      <c r="M72" s="37"/>
      <c r="N72" s="37"/>
      <c r="O72" s="37"/>
      <c r="P72" s="37"/>
      <c r="Q72" s="37"/>
      <c r="R72" s="41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">
      <c r="A73" s="20" t="s">
        <v>10</v>
      </c>
      <c r="B73" s="32" t="s">
        <v>33</v>
      </c>
      <c r="C73" s="33">
        <v>44250.484722222223</v>
      </c>
      <c r="D73" s="32" t="s">
        <v>115</v>
      </c>
      <c r="E73" s="19" t="s">
        <v>13</v>
      </c>
      <c r="F73" s="19" t="s">
        <v>14</v>
      </c>
      <c r="G73" s="19">
        <v>11.3</v>
      </c>
      <c r="H73" s="34">
        <v>179</v>
      </c>
      <c r="I73" s="19" t="s">
        <v>225</v>
      </c>
      <c r="J73" s="19" t="s">
        <v>226</v>
      </c>
      <c r="K73" s="34"/>
      <c r="L73" s="36">
        <f t="shared" si="0"/>
        <v>13.229410586697291</v>
      </c>
      <c r="M73" s="37"/>
      <c r="N73" s="37"/>
      <c r="O73" s="37"/>
      <c r="P73" s="37"/>
      <c r="Q73" s="37"/>
      <c r="R73" s="41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">
      <c r="A74" s="20" t="s">
        <v>10</v>
      </c>
      <c r="B74" s="32" t="s">
        <v>33</v>
      </c>
      <c r="C74" s="33">
        <v>44250.470138888886</v>
      </c>
      <c r="D74" s="32" t="s">
        <v>227</v>
      </c>
      <c r="E74" s="19" t="s">
        <v>13</v>
      </c>
      <c r="F74" s="19" t="s">
        <v>14</v>
      </c>
      <c r="G74" s="19">
        <v>11.9</v>
      </c>
      <c r="H74" s="34">
        <v>211</v>
      </c>
      <c r="I74" s="19" t="s">
        <v>228</v>
      </c>
      <c r="J74" s="19" t="s">
        <v>229</v>
      </c>
      <c r="K74" s="34"/>
      <c r="L74" s="36">
        <f t="shared" si="0"/>
        <v>7.4081294291685351</v>
      </c>
      <c r="M74" s="37"/>
      <c r="N74" s="37"/>
      <c r="O74" s="37"/>
      <c r="P74" s="37"/>
      <c r="Q74" s="37"/>
      <c r="R74" s="41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">
      <c r="A75" s="20" t="s">
        <v>10</v>
      </c>
      <c r="B75" s="32" t="s">
        <v>11</v>
      </c>
      <c r="C75" s="33">
        <v>44250.467361111114</v>
      </c>
      <c r="D75" s="32" t="s">
        <v>230</v>
      </c>
      <c r="E75" s="19" t="s">
        <v>13</v>
      </c>
      <c r="F75" s="19" t="s">
        <v>14</v>
      </c>
      <c r="G75" s="19">
        <v>11.9</v>
      </c>
      <c r="H75" s="34">
        <v>218</v>
      </c>
      <c r="I75" s="19" t="s">
        <v>231</v>
      </c>
      <c r="J75" s="19" t="s">
        <v>232</v>
      </c>
      <c r="K75" s="34"/>
      <c r="L75" s="36">
        <f t="shared" si="0"/>
        <v>1.2869056149421934</v>
      </c>
      <c r="M75" s="37"/>
      <c r="N75" s="37"/>
      <c r="O75" s="37"/>
      <c r="P75" s="37"/>
      <c r="Q75" s="37"/>
      <c r="R75" s="41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">
      <c r="A76" s="20" t="s">
        <v>10</v>
      </c>
      <c r="B76" s="32" t="s">
        <v>33</v>
      </c>
      <c r="C76" s="33">
        <v>44250.462500000001</v>
      </c>
      <c r="D76" s="32" t="s">
        <v>233</v>
      </c>
      <c r="E76" s="19" t="s">
        <v>13</v>
      </c>
      <c r="F76" s="19" t="s">
        <v>14</v>
      </c>
      <c r="G76" s="19">
        <v>11.9</v>
      </c>
      <c r="H76" s="34">
        <v>248</v>
      </c>
      <c r="I76" s="19" t="s">
        <v>234</v>
      </c>
      <c r="J76" s="19" t="s">
        <v>235</v>
      </c>
      <c r="K76" s="34"/>
      <c r="L76" s="36">
        <f t="shared" ref="L76:L139" si="1">ACOS((SIN(I75*PI()/180)*SIN(I76*PI()/180)+COS(I75*PI()/180)*COS(I76*PI()/180)*COS(J76*PI()/180-J75*PI()/180)))*3443.8985*1.852</f>
        <v>2.6246653511068687</v>
      </c>
      <c r="M76" s="37"/>
      <c r="N76" s="37"/>
      <c r="O76" s="37"/>
      <c r="P76" s="37"/>
      <c r="Q76" s="37"/>
      <c r="R76" s="41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75" thickBot="1">
      <c r="A77" s="20" t="s">
        <v>10</v>
      </c>
      <c r="B77" s="42" t="s">
        <v>49</v>
      </c>
      <c r="C77" s="43">
        <v>44250.455555555556</v>
      </c>
      <c r="D77" s="42" t="s">
        <v>236</v>
      </c>
      <c r="E77" s="47" t="s">
        <v>13</v>
      </c>
      <c r="F77" s="47" t="s">
        <v>14</v>
      </c>
      <c r="G77" s="47" t="s">
        <v>237</v>
      </c>
      <c r="H77" s="48">
        <v>8</v>
      </c>
      <c r="I77" s="47" t="s">
        <v>238</v>
      </c>
      <c r="J77" s="47" t="s">
        <v>239</v>
      </c>
      <c r="K77" s="48"/>
      <c r="L77" s="49">
        <f t="shared" si="1"/>
        <v>3.0957201815012305</v>
      </c>
      <c r="M77" s="50"/>
      <c r="N77" s="50"/>
      <c r="O77" s="50"/>
      <c r="P77" s="50"/>
      <c r="Q77" s="50"/>
      <c r="R77" s="51"/>
      <c r="S77" s="44" t="s">
        <v>1510</v>
      </c>
      <c r="T77" s="6"/>
      <c r="U77" s="6"/>
      <c r="V77" s="6"/>
      <c r="W77" s="6"/>
      <c r="X77" s="6"/>
      <c r="Y77" s="6"/>
      <c r="Z77" s="6"/>
      <c r="AA77" s="6"/>
      <c r="AB77" s="6"/>
    </row>
    <row r="78" spans="1:28" ht="15">
      <c r="A78" s="20" t="s">
        <v>10</v>
      </c>
      <c r="B78" s="24" t="s">
        <v>58</v>
      </c>
      <c r="C78" s="25">
        <v>44250.401388888888</v>
      </c>
      <c r="D78" s="24" t="s">
        <v>240</v>
      </c>
      <c r="E78" s="26" t="s">
        <v>13</v>
      </c>
      <c r="F78" s="26" t="s">
        <v>14</v>
      </c>
      <c r="G78" s="26" t="s">
        <v>71</v>
      </c>
      <c r="H78" s="27">
        <v>199</v>
      </c>
      <c r="I78" s="26" t="s">
        <v>241</v>
      </c>
      <c r="J78" s="26" t="s">
        <v>242</v>
      </c>
      <c r="K78" s="27"/>
      <c r="L78" s="28">
        <f t="shared" si="1"/>
        <v>0.16040476424020655</v>
      </c>
      <c r="M78" s="29"/>
      <c r="N78" s="30" t="s">
        <v>271</v>
      </c>
      <c r="O78" s="30" t="s">
        <v>23</v>
      </c>
      <c r="P78" s="30" t="s">
        <v>1498</v>
      </c>
      <c r="Q78" s="30" t="s">
        <v>1495</v>
      </c>
      <c r="R78" s="31" t="s">
        <v>1499</v>
      </c>
      <c r="S78" s="45">
        <f>(C77 - C78)*24</f>
        <v>1.3000000000465661</v>
      </c>
      <c r="T78" s="6"/>
      <c r="U78" s="6"/>
      <c r="V78" s="6"/>
      <c r="W78" s="6"/>
      <c r="X78" s="6"/>
      <c r="Y78" s="6"/>
      <c r="Z78" s="6"/>
      <c r="AA78" s="6"/>
      <c r="AB78" s="6"/>
    </row>
    <row r="79" spans="1:28" ht="15">
      <c r="A79" s="20" t="s">
        <v>10</v>
      </c>
      <c r="B79" s="32" t="s">
        <v>33</v>
      </c>
      <c r="C79" s="33">
        <v>44250.388888888891</v>
      </c>
      <c r="D79" s="32" t="s">
        <v>243</v>
      </c>
      <c r="E79" s="19" t="s">
        <v>13</v>
      </c>
      <c r="F79" s="19" t="s">
        <v>14</v>
      </c>
      <c r="G79" s="19">
        <v>11.2</v>
      </c>
      <c r="H79" s="34">
        <v>225</v>
      </c>
      <c r="I79" s="19" t="s">
        <v>244</v>
      </c>
      <c r="J79" s="19" t="s">
        <v>245</v>
      </c>
      <c r="K79" s="34"/>
      <c r="L79" s="36">
        <f t="shared" si="1"/>
        <v>4.6016788879983732</v>
      </c>
      <c r="M79" s="37"/>
      <c r="N79" s="38" t="s">
        <v>1511</v>
      </c>
      <c r="O79" s="38" t="s">
        <v>1509</v>
      </c>
      <c r="P79" s="39">
        <f>SUM(L78:L85)</f>
        <v>14.132634761106022</v>
      </c>
      <c r="Q79" s="39">
        <f>AVERAGE(G79:G85)</f>
        <v>4.8428571428571434</v>
      </c>
      <c r="R79" s="46">
        <f>(C78 - C85)*24</f>
        <v>1.6499999999650754</v>
      </c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">
      <c r="A80" s="20" t="s">
        <v>10</v>
      </c>
      <c r="B80" s="32" t="s">
        <v>49</v>
      </c>
      <c r="C80" s="33">
        <v>44250.381944444445</v>
      </c>
      <c r="D80" s="32" t="s">
        <v>246</v>
      </c>
      <c r="E80" s="19" t="s">
        <v>13</v>
      </c>
      <c r="F80" s="19" t="s">
        <v>14</v>
      </c>
      <c r="G80" s="19">
        <v>5</v>
      </c>
      <c r="H80" s="34">
        <v>180</v>
      </c>
      <c r="I80" s="19" t="s">
        <v>247</v>
      </c>
      <c r="J80" s="19" t="s">
        <v>248</v>
      </c>
      <c r="K80" s="34"/>
      <c r="L80" s="36">
        <f t="shared" si="1"/>
        <v>3.082529558402503</v>
      </c>
      <c r="M80" s="37"/>
      <c r="N80" s="37"/>
      <c r="O80" s="37"/>
      <c r="P80" s="37"/>
      <c r="Q80" s="37"/>
      <c r="R80" s="41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">
      <c r="A81" s="20" t="s">
        <v>10</v>
      </c>
      <c r="B81" s="32" t="s">
        <v>155</v>
      </c>
      <c r="C81" s="33">
        <v>44250.379861111112</v>
      </c>
      <c r="D81" s="32" t="s">
        <v>249</v>
      </c>
      <c r="E81" s="19" t="s">
        <v>13</v>
      </c>
      <c r="F81" s="19" t="s">
        <v>14</v>
      </c>
      <c r="G81" s="19">
        <v>0.1</v>
      </c>
      <c r="H81" s="34">
        <v>292</v>
      </c>
      <c r="I81" s="19" t="s">
        <v>250</v>
      </c>
      <c r="J81" s="19" t="s">
        <v>251</v>
      </c>
      <c r="K81" s="34"/>
      <c r="L81" s="36">
        <f t="shared" si="1"/>
        <v>0.19611352014732539</v>
      </c>
      <c r="M81" s="37"/>
      <c r="N81" s="37"/>
      <c r="O81" s="37"/>
      <c r="P81" s="37"/>
      <c r="Q81" s="37"/>
      <c r="R81" s="41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75" thickBot="1">
      <c r="A82" s="20" t="s">
        <v>10</v>
      </c>
      <c r="B82" s="42" t="s">
        <v>159</v>
      </c>
      <c r="C82" s="43">
        <v>44250.352777777778</v>
      </c>
      <c r="D82" s="42" t="s">
        <v>252</v>
      </c>
      <c r="E82" s="47" t="s">
        <v>13</v>
      </c>
      <c r="F82" s="47" t="s">
        <v>14</v>
      </c>
      <c r="G82" s="47">
        <v>0.1</v>
      </c>
      <c r="H82" s="48">
        <v>314</v>
      </c>
      <c r="I82" s="47" t="s">
        <v>250</v>
      </c>
      <c r="J82" s="47" t="s">
        <v>251</v>
      </c>
      <c r="K82" s="48"/>
      <c r="L82" s="49">
        <f t="shared" si="1"/>
        <v>0</v>
      </c>
      <c r="M82" s="50"/>
      <c r="N82" s="50"/>
      <c r="O82" s="50"/>
      <c r="P82" s="50"/>
      <c r="Q82" s="50"/>
      <c r="R82" s="51"/>
      <c r="S82" s="44" t="s">
        <v>1510</v>
      </c>
      <c r="T82" s="6"/>
      <c r="U82" s="6"/>
      <c r="V82" s="6"/>
      <c r="W82" s="6"/>
      <c r="X82" s="6"/>
      <c r="Y82" s="6"/>
      <c r="Z82" s="6"/>
      <c r="AA82" s="6"/>
      <c r="AB82" s="6"/>
    </row>
    <row r="83" spans="1:28" ht="15">
      <c r="A83" s="20" t="s">
        <v>10</v>
      </c>
      <c r="B83" s="32" t="s">
        <v>58</v>
      </c>
      <c r="C83" s="33">
        <v>44250.34652777778</v>
      </c>
      <c r="D83" s="24" t="s">
        <v>253</v>
      </c>
      <c r="E83" s="26" t="s">
        <v>13</v>
      </c>
      <c r="F83" s="26" t="s">
        <v>14</v>
      </c>
      <c r="G83" s="26">
        <v>0.8</v>
      </c>
      <c r="H83" s="27">
        <v>28</v>
      </c>
      <c r="I83" s="26" t="s">
        <v>254</v>
      </c>
      <c r="J83" s="26" t="s">
        <v>255</v>
      </c>
      <c r="K83" s="27"/>
      <c r="L83" s="28">
        <f t="shared" si="1"/>
        <v>4.0692908478956846E-2</v>
      </c>
      <c r="M83" s="29"/>
      <c r="N83" s="30" t="s">
        <v>271</v>
      </c>
      <c r="O83" s="30" t="s">
        <v>23</v>
      </c>
      <c r="P83" s="30" t="s">
        <v>1498</v>
      </c>
      <c r="Q83" s="30" t="s">
        <v>1495</v>
      </c>
      <c r="R83" s="31" t="s">
        <v>1499</v>
      </c>
      <c r="S83" s="45">
        <f>(C82 - C83)*24</f>
        <v>0.1499999999650754</v>
      </c>
      <c r="T83" s="6"/>
      <c r="U83" s="6"/>
      <c r="V83" s="6"/>
      <c r="W83" s="6"/>
      <c r="X83" s="6"/>
      <c r="Y83" s="6"/>
      <c r="Z83" s="6"/>
      <c r="AA83" s="6"/>
      <c r="AB83" s="6"/>
    </row>
    <row r="84" spans="1:28" ht="15">
      <c r="A84" s="20" t="s">
        <v>10</v>
      </c>
      <c r="B84" s="32" t="s">
        <v>33</v>
      </c>
      <c r="C84" s="33">
        <v>44250.340277777781</v>
      </c>
      <c r="D84" s="32" t="s">
        <v>256</v>
      </c>
      <c r="E84" s="19" t="s">
        <v>13</v>
      </c>
      <c r="F84" s="19" t="s">
        <v>14</v>
      </c>
      <c r="G84" s="19">
        <v>12.1</v>
      </c>
      <c r="H84" s="34">
        <v>290</v>
      </c>
      <c r="I84" s="19" t="s">
        <v>258</v>
      </c>
      <c r="J84" s="19" t="s">
        <v>259</v>
      </c>
      <c r="K84" s="34"/>
      <c r="L84" s="36">
        <f t="shared" si="1"/>
        <v>2.2808755401440495</v>
      </c>
      <c r="M84" s="37"/>
      <c r="N84" s="38" t="s">
        <v>1517</v>
      </c>
      <c r="O84" s="38" t="s">
        <v>1511</v>
      </c>
      <c r="P84" s="39">
        <f>SUM(L83:L85)</f>
        <v>6.0919080303176134</v>
      </c>
      <c r="Q84" s="39">
        <f>AVERAGE(G84)</f>
        <v>12.1</v>
      </c>
      <c r="R84" s="46">
        <f>(C83 - C85)*24</f>
        <v>0.33333333337213844</v>
      </c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75" thickBot="1">
      <c r="A85" s="20" t="s">
        <v>10</v>
      </c>
      <c r="B85" s="42" t="s">
        <v>49</v>
      </c>
      <c r="C85" s="43">
        <v>44250.332638888889</v>
      </c>
      <c r="D85" s="42" t="s">
        <v>260</v>
      </c>
      <c r="E85" s="47" t="s">
        <v>13</v>
      </c>
      <c r="F85" s="47" t="s">
        <v>14</v>
      </c>
      <c r="G85" s="47">
        <v>4.5999999999999996</v>
      </c>
      <c r="H85" s="48">
        <v>240</v>
      </c>
      <c r="I85" s="47" t="s">
        <v>262</v>
      </c>
      <c r="J85" s="47" t="s">
        <v>263</v>
      </c>
      <c r="K85" s="48"/>
      <c r="L85" s="49">
        <f t="shared" si="1"/>
        <v>3.7703395816946075</v>
      </c>
      <c r="M85" s="50"/>
      <c r="N85" s="50"/>
      <c r="O85" s="50"/>
      <c r="P85" s="50"/>
      <c r="Q85" s="50"/>
      <c r="R85" s="51"/>
      <c r="S85" s="44" t="s">
        <v>1510</v>
      </c>
      <c r="T85" s="6"/>
      <c r="U85" s="6"/>
      <c r="V85" s="6"/>
      <c r="W85" s="6"/>
      <c r="X85" s="6"/>
      <c r="Y85" s="6"/>
      <c r="Z85" s="6"/>
      <c r="AA85" s="6"/>
      <c r="AB85" s="6"/>
    </row>
    <row r="86" spans="1:28" ht="15">
      <c r="A86" s="20" t="s">
        <v>10</v>
      </c>
      <c r="B86" s="24" t="s">
        <v>58</v>
      </c>
      <c r="C86" s="25">
        <v>44250.286111111112</v>
      </c>
      <c r="D86" s="24" t="s">
        <v>264</v>
      </c>
      <c r="E86" s="26" t="s">
        <v>13</v>
      </c>
      <c r="F86" s="26" t="s">
        <v>14</v>
      </c>
      <c r="G86" s="26" t="s">
        <v>265</v>
      </c>
      <c r="H86" s="27">
        <v>325</v>
      </c>
      <c r="I86" s="26" t="s">
        <v>266</v>
      </c>
      <c r="J86" s="26" t="s">
        <v>267</v>
      </c>
      <c r="K86" s="27"/>
      <c r="L86" s="28">
        <f t="shared" si="1"/>
        <v>0.11654410345625431</v>
      </c>
      <c r="M86" s="29"/>
      <c r="N86" s="30" t="s">
        <v>271</v>
      </c>
      <c r="O86" s="30" t="s">
        <v>23</v>
      </c>
      <c r="P86" s="30" t="s">
        <v>1498</v>
      </c>
      <c r="Q86" s="30" t="s">
        <v>1495</v>
      </c>
      <c r="R86" s="31" t="s">
        <v>1499</v>
      </c>
      <c r="S86" s="45">
        <f>(C85 - C86)*24</f>
        <v>1.1166666666395031</v>
      </c>
      <c r="T86" s="6"/>
      <c r="U86" s="6"/>
      <c r="V86" s="6"/>
      <c r="W86" s="6"/>
      <c r="X86" s="6"/>
      <c r="Y86" s="6"/>
      <c r="Z86" s="6"/>
      <c r="AA86" s="6"/>
      <c r="AB86" s="6"/>
    </row>
    <row r="87" spans="1:28" ht="15">
      <c r="A87" s="20" t="s">
        <v>10</v>
      </c>
      <c r="B87" s="32" t="s">
        <v>28</v>
      </c>
      <c r="C87" s="33">
        <v>44249.968055555553</v>
      </c>
      <c r="D87" s="32" t="s">
        <v>268</v>
      </c>
      <c r="E87" s="19" t="s">
        <v>13</v>
      </c>
      <c r="F87" s="19" t="s">
        <v>14</v>
      </c>
      <c r="G87" s="19">
        <v>12.4</v>
      </c>
      <c r="H87" s="34">
        <v>334</v>
      </c>
      <c r="I87" s="54" t="s">
        <v>269</v>
      </c>
      <c r="J87" s="54" t="s">
        <v>270</v>
      </c>
      <c r="K87" s="34"/>
      <c r="L87" s="36">
        <f t="shared" si="1"/>
        <v>63.443919686737885</v>
      </c>
      <c r="M87" s="37"/>
      <c r="N87" s="38" t="s">
        <v>1496</v>
      </c>
      <c r="O87" s="38" t="s">
        <v>1517</v>
      </c>
      <c r="P87" s="39">
        <f>SUM(L86:L89)</f>
        <v>103.13806287740019</v>
      </c>
      <c r="Q87" s="39">
        <f>AVERAGE(G87)</f>
        <v>12.4</v>
      </c>
      <c r="R87" s="46">
        <f>(C86 - C89)*24</f>
        <v>10.750000000116415</v>
      </c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">
      <c r="A88" s="20" t="s">
        <v>10</v>
      </c>
      <c r="B88" s="32" t="s">
        <v>271</v>
      </c>
      <c r="C88" s="33">
        <v>44249.838888888888</v>
      </c>
      <c r="D88" s="32" t="s">
        <v>24</v>
      </c>
      <c r="E88" s="19" t="s">
        <v>13</v>
      </c>
      <c r="F88" s="19" t="s">
        <v>14</v>
      </c>
      <c r="G88" s="19" t="s">
        <v>25</v>
      </c>
      <c r="H88" s="34"/>
      <c r="I88" s="35" t="s">
        <v>16</v>
      </c>
      <c r="J88" s="35" t="s">
        <v>274</v>
      </c>
      <c r="K88" s="34"/>
      <c r="L88" s="36">
        <f t="shared" si="1"/>
        <v>39.577599087206053</v>
      </c>
      <c r="M88" s="37"/>
      <c r="N88" s="37"/>
      <c r="O88" s="37"/>
      <c r="P88" s="37"/>
      <c r="Q88" s="37"/>
      <c r="R88" s="41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75" thickBot="1">
      <c r="A89" s="20" t="s">
        <v>10</v>
      </c>
      <c r="B89" s="42" t="s">
        <v>272</v>
      </c>
      <c r="C89" s="43">
        <v>44249.838194444441</v>
      </c>
      <c r="D89" s="42" t="s">
        <v>27</v>
      </c>
      <c r="E89" s="47" t="s">
        <v>13</v>
      </c>
      <c r="F89" s="47" t="s">
        <v>14</v>
      </c>
      <c r="G89" s="47" t="s">
        <v>25</v>
      </c>
      <c r="H89" s="48"/>
      <c r="I89" s="47" t="s">
        <v>25</v>
      </c>
      <c r="J89" s="47" t="s">
        <v>25</v>
      </c>
      <c r="K89" s="48"/>
      <c r="L89" s="49"/>
      <c r="M89" s="50"/>
      <c r="N89" s="50"/>
      <c r="O89" s="50"/>
      <c r="P89" s="50"/>
      <c r="Q89" s="50"/>
      <c r="R89" s="51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">
      <c r="A90" s="20" t="s">
        <v>10</v>
      </c>
      <c r="B90" s="24" t="s">
        <v>21</v>
      </c>
      <c r="C90" s="25">
        <v>44249.826388888891</v>
      </c>
      <c r="D90" s="26" t="s">
        <v>273</v>
      </c>
      <c r="E90" s="26" t="s">
        <v>13</v>
      </c>
      <c r="F90" s="26" t="s">
        <v>14</v>
      </c>
      <c r="G90" s="26" t="s">
        <v>15</v>
      </c>
      <c r="H90" s="27">
        <v>69</v>
      </c>
      <c r="I90" s="26" t="s">
        <v>16</v>
      </c>
      <c r="J90" s="26" t="s">
        <v>274</v>
      </c>
      <c r="K90" s="55"/>
      <c r="L90" s="5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">
      <c r="A91" s="20" t="s">
        <v>10</v>
      </c>
      <c r="B91" s="32" t="s">
        <v>11</v>
      </c>
      <c r="C91" s="33">
        <v>44249.466666666667</v>
      </c>
      <c r="D91" s="19" t="s">
        <v>275</v>
      </c>
      <c r="E91" s="19" t="s">
        <v>13</v>
      </c>
      <c r="F91" s="19" t="s">
        <v>14</v>
      </c>
      <c r="G91" s="19" t="s">
        <v>15</v>
      </c>
      <c r="H91" s="34">
        <v>69</v>
      </c>
      <c r="I91" s="19" t="s">
        <v>16</v>
      </c>
      <c r="J91" s="19" t="s">
        <v>276</v>
      </c>
      <c r="K91" s="54"/>
      <c r="L91" s="57">
        <f t="shared" si="1"/>
        <v>1.1870629142896865E-3</v>
      </c>
      <c r="M91" s="18" t="s">
        <v>1514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">
      <c r="A92" s="20" t="s">
        <v>10</v>
      </c>
      <c r="B92" s="32" t="s">
        <v>28</v>
      </c>
      <c r="C92" s="33">
        <v>44248.966666666667</v>
      </c>
      <c r="D92" s="19" t="s">
        <v>277</v>
      </c>
      <c r="E92" s="19" t="s">
        <v>13</v>
      </c>
      <c r="F92" s="19" t="s">
        <v>14</v>
      </c>
      <c r="G92" s="19" t="s">
        <v>15</v>
      </c>
      <c r="H92" s="34">
        <v>235</v>
      </c>
      <c r="I92" s="19" t="s">
        <v>278</v>
      </c>
      <c r="J92" s="19" t="s">
        <v>279</v>
      </c>
      <c r="K92" s="54"/>
      <c r="L92" s="57">
        <f t="shared" si="1"/>
        <v>2.9752569350012192E-3</v>
      </c>
      <c r="M92" s="58">
        <f>(C90-C95)*24</f>
        <v>26.366666666697711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5">
      <c r="A93" s="20" t="s">
        <v>10</v>
      </c>
      <c r="B93" s="32" t="s">
        <v>21</v>
      </c>
      <c r="C93" s="33">
        <v>44248.910416666666</v>
      </c>
      <c r="D93" s="19" t="s">
        <v>22</v>
      </c>
      <c r="E93" s="19" t="s">
        <v>13</v>
      </c>
      <c r="F93" s="19" t="s">
        <v>14</v>
      </c>
      <c r="G93" s="19" t="s">
        <v>15</v>
      </c>
      <c r="H93" s="34">
        <v>283</v>
      </c>
      <c r="I93" s="19" t="s">
        <v>20</v>
      </c>
      <c r="J93" s="19" t="s">
        <v>280</v>
      </c>
      <c r="K93" s="54"/>
      <c r="L93" s="57">
        <f t="shared" si="1"/>
        <v>1.6240629685450366E-3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15">
      <c r="A94" s="20" t="s">
        <v>10</v>
      </c>
      <c r="B94" s="32" t="s">
        <v>21</v>
      </c>
      <c r="C94" s="33">
        <v>44248.901388888888</v>
      </c>
      <c r="D94" s="19" t="s">
        <v>273</v>
      </c>
      <c r="E94" s="19" t="s">
        <v>13</v>
      </c>
      <c r="F94" s="19" t="s">
        <v>14</v>
      </c>
      <c r="G94" s="19" t="s">
        <v>15</v>
      </c>
      <c r="H94" s="34">
        <v>269</v>
      </c>
      <c r="I94" s="19" t="s">
        <v>281</v>
      </c>
      <c r="J94" s="19" t="s">
        <v>282</v>
      </c>
      <c r="K94" s="54"/>
      <c r="L94" s="57">
        <f t="shared" si="1"/>
        <v>7.6156271126871011E-2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 ht="15.75" thickBot="1">
      <c r="A95" s="20" t="s">
        <v>10</v>
      </c>
      <c r="B95" s="42" t="s">
        <v>21</v>
      </c>
      <c r="C95" s="43">
        <v>44248.727777777778</v>
      </c>
      <c r="D95" s="47" t="s">
        <v>22</v>
      </c>
      <c r="E95" s="47" t="s">
        <v>13</v>
      </c>
      <c r="F95" s="47" t="s">
        <v>14</v>
      </c>
      <c r="G95" s="47" t="s">
        <v>15</v>
      </c>
      <c r="H95" s="48">
        <v>161</v>
      </c>
      <c r="I95" s="47" t="s">
        <v>283</v>
      </c>
      <c r="J95" s="47" t="s">
        <v>284</v>
      </c>
      <c r="K95" s="59"/>
      <c r="L95" s="60">
        <f t="shared" si="1"/>
        <v>1.0415133971823943E-2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 ht="15">
      <c r="A96" s="20" t="s">
        <v>10</v>
      </c>
      <c r="B96" s="24" t="s">
        <v>26</v>
      </c>
      <c r="C96" s="25">
        <v>44248.72152777778</v>
      </c>
      <c r="D96" s="26" t="s">
        <v>27</v>
      </c>
      <c r="E96" s="26" t="s">
        <v>13</v>
      </c>
      <c r="F96" s="26" t="s">
        <v>14</v>
      </c>
      <c r="G96" s="26" t="s">
        <v>25</v>
      </c>
      <c r="H96" s="27"/>
      <c r="I96" s="26" t="s">
        <v>25</v>
      </c>
      <c r="J96" s="26" t="s">
        <v>25</v>
      </c>
      <c r="K96" s="55"/>
      <c r="L96" s="5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 ht="15">
      <c r="A97" s="20" t="s">
        <v>10</v>
      </c>
      <c r="B97" s="32" t="s">
        <v>23</v>
      </c>
      <c r="C97" s="33">
        <v>44248.718055555553</v>
      </c>
      <c r="D97" s="19" t="s">
        <v>24</v>
      </c>
      <c r="E97" s="19" t="s">
        <v>13</v>
      </c>
      <c r="F97" s="19" t="s">
        <v>14</v>
      </c>
      <c r="G97" s="19" t="s">
        <v>25</v>
      </c>
      <c r="H97" s="34"/>
      <c r="I97" s="19" t="s">
        <v>25</v>
      </c>
      <c r="J97" s="19" t="s">
        <v>25</v>
      </c>
      <c r="K97" s="54"/>
      <c r="L97" s="57"/>
      <c r="M97" s="18" t="s">
        <v>1515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 ht="15">
      <c r="A98" s="20" t="s">
        <v>10</v>
      </c>
      <c r="B98" s="32" t="s">
        <v>271</v>
      </c>
      <c r="C98" s="33">
        <v>44248.593055555553</v>
      </c>
      <c r="D98" s="19" t="s">
        <v>285</v>
      </c>
      <c r="E98" s="19" t="s">
        <v>13</v>
      </c>
      <c r="F98" s="19" t="s">
        <v>14</v>
      </c>
      <c r="G98" s="19" t="s">
        <v>25</v>
      </c>
      <c r="H98" s="34"/>
      <c r="I98" s="19" t="s">
        <v>25</v>
      </c>
      <c r="J98" s="19" t="s">
        <v>25</v>
      </c>
      <c r="K98" s="54"/>
      <c r="L98" s="57"/>
      <c r="M98" s="6" t="s">
        <v>1516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ht="15.75" thickBot="1">
      <c r="A99" s="20" t="s">
        <v>10</v>
      </c>
      <c r="B99" s="42" t="s">
        <v>272</v>
      </c>
      <c r="C99" s="43">
        <v>44248.593055555553</v>
      </c>
      <c r="D99" s="47" t="s">
        <v>286</v>
      </c>
      <c r="E99" s="47" t="s">
        <v>13</v>
      </c>
      <c r="F99" s="47" t="s">
        <v>14</v>
      </c>
      <c r="G99" s="47" t="s">
        <v>25</v>
      </c>
      <c r="H99" s="48"/>
      <c r="I99" s="47" t="s">
        <v>25</v>
      </c>
      <c r="J99" s="47" t="s">
        <v>25</v>
      </c>
      <c r="K99" s="59"/>
      <c r="L99" s="60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ht="15">
      <c r="A100" s="20" t="s">
        <v>10</v>
      </c>
      <c r="B100" s="24" t="s">
        <v>155</v>
      </c>
      <c r="C100" s="25">
        <v>44248.590277777781</v>
      </c>
      <c r="D100" s="26" t="s">
        <v>287</v>
      </c>
      <c r="E100" s="26" t="s">
        <v>13</v>
      </c>
      <c r="F100" s="26" t="s">
        <v>14</v>
      </c>
      <c r="G100" s="26" t="s">
        <v>71</v>
      </c>
      <c r="H100" s="27">
        <v>234</v>
      </c>
      <c r="I100" s="26" t="s">
        <v>288</v>
      </c>
      <c r="J100" s="26" t="s">
        <v>289</v>
      </c>
      <c r="K100" s="55"/>
      <c r="L100" s="5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ht="15">
      <c r="A101" s="20" t="s">
        <v>10</v>
      </c>
      <c r="B101" s="32" t="s">
        <v>21</v>
      </c>
      <c r="C101" s="33">
        <v>44248.586111111108</v>
      </c>
      <c r="D101" s="19" t="s">
        <v>273</v>
      </c>
      <c r="E101" s="19" t="s">
        <v>13</v>
      </c>
      <c r="F101" s="19" t="s">
        <v>14</v>
      </c>
      <c r="G101" s="19" t="s">
        <v>96</v>
      </c>
      <c r="H101" s="34">
        <v>173</v>
      </c>
      <c r="I101" s="19" t="s">
        <v>288</v>
      </c>
      <c r="J101" s="19" t="s">
        <v>290</v>
      </c>
      <c r="K101" s="54"/>
      <c r="L101" s="57">
        <f t="shared" si="1"/>
        <v>4.6453614677906974E-3</v>
      </c>
      <c r="M101" s="18" t="s">
        <v>1513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 ht="15">
      <c r="A102" s="20" t="s">
        <v>10</v>
      </c>
      <c r="B102" s="32" t="s">
        <v>11</v>
      </c>
      <c r="C102" s="33">
        <v>44248.466666666667</v>
      </c>
      <c r="D102" s="19" t="s">
        <v>291</v>
      </c>
      <c r="E102" s="19" t="s">
        <v>13</v>
      </c>
      <c r="F102" s="19" t="s">
        <v>14</v>
      </c>
      <c r="G102" s="19" t="s">
        <v>96</v>
      </c>
      <c r="H102" s="34">
        <v>102</v>
      </c>
      <c r="I102" s="19" t="s">
        <v>288</v>
      </c>
      <c r="J102" s="19" t="s">
        <v>292</v>
      </c>
      <c r="K102" s="54"/>
      <c r="L102" s="57">
        <f t="shared" si="1"/>
        <v>3.8016438615322111E-4</v>
      </c>
      <c r="M102" s="58">
        <f>(C100-C103)*24</f>
        <v>14.966666666732635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 ht="15.75" thickBot="1">
      <c r="A103" s="20" t="s">
        <v>10</v>
      </c>
      <c r="B103" s="42" t="s">
        <v>28</v>
      </c>
      <c r="C103" s="43">
        <v>44247.966666666667</v>
      </c>
      <c r="D103" s="47" t="s">
        <v>293</v>
      </c>
      <c r="E103" s="47" t="s">
        <v>13</v>
      </c>
      <c r="F103" s="47" t="s">
        <v>14</v>
      </c>
      <c r="G103" s="47" t="s">
        <v>96</v>
      </c>
      <c r="H103" s="48">
        <v>265</v>
      </c>
      <c r="I103" s="47" t="s">
        <v>294</v>
      </c>
      <c r="J103" s="47" t="s">
        <v>295</v>
      </c>
      <c r="K103" s="59"/>
      <c r="L103" s="60">
        <f t="shared" si="1"/>
        <v>1.6100982819564885E-3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ht="15">
      <c r="A104" s="20" t="s">
        <v>10</v>
      </c>
      <c r="B104" s="24" t="s">
        <v>26</v>
      </c>
      <c r="C104" s="25">
        <v>44247.59375</v>
      </c>
      <c r="D104" s="26" t="s">
        <v>286</v>
      </c>
      <c r="E104" s="26" t="s">
        <v>13</v>
      </c>
      <c r="F104" s="26" t="s">
        <v>14</v>
      </c>
      <c r="G104" s="26" t="s">
        <v>25</v>
      </c>
      <c r="H104" s="27"/>
      <c r="I104" s="26" t="s">
        <v>25</v>
      </c>
      <c r="J104" s="26" t="s">
        <v>25</v>
      </c>
      <c r="K104" s="55"/>
      <c r="L104" s="5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 ht="15">
      <c r="A105" s="20" t="s">
        <v>10</v>
      </c>
      <c r="B105" s="32" t="s">
        <v>21</v>
      </c>
      <c r="C105" s="33">
        <v>44247.572916666664</v>
      </c>
      <c r="D105" s="19" t="s">
        <v>22</v>
      </c>
      <c r="E105" s="19" t="s">
        <v>13</v>
      </c>
      <c r="F105" s="19" t="s">
        <v>14</v>
      </c>
      <c r="G105" s="19" t="s">
        <v>15</v>
      </c>
      <c r="H105" s="34">
        <v>45</v>
      </c>
      <c r="I105" s="19" t="s">
        <v>296</v>
      </c>
      <c r="J105" s="19" t="s">
        <v>295</v>
      </c>
      <c r="K105" s="54"/>
      <c r="L105" s="57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 ht="15">
      <c r="A106" s="20" t="s">
        <v>10</v>
      </c>
      <c r="B106" s="32" t="s">
        <v>159</v>
      </c>
      <c r="C106" s="33">
        <v>44247.56527777778</v>
      </c>
      <c r="D106" s="19" t="s">
        <v>297</v>
      </c>
      <c r="E106" s="19" t="s">
        <v>13</v>
      </c>
      <c r="F106" s="19" t="s">
        <v>14</v>
      </c>
      <c r="G106" s="19" t="s">
        <v>15</v>
      </c>
      <c r="H106" s="34">
        <v>45</v>
      </c>
      <c r="I106" s="19" t="s">
        <v>296</v>
      </c>
      <c r="J106" s="19" t="s">
        <v>292</v>
      </c>
      <c r="K106" s="54"/>
      <c r="L106" s="57">
        <f t="shared" si="1"/>
        <v>1.1640109554409577E-3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 ht="15">
      <c r="A107" s="20" t="s">
        <v>10</v>
      </c>
      <c r="B107" s="32" t="s">
        <v>23</v>
      </c>
      <c r="C107" s="33">
        <v>44247.5625</v>
      </c>
      <c r="D107" s="19" t="s">
        <v>285</v>
      </c>
      <c r="E107" s="19" t="s">
        <v>13</v>
      </c>
      <c r="F107" s="19" t="s">
        <v>14</v>
      </c>
      <c r="G107" s="19" t="s">
        <v>25</v>
      </c>
      <c r="H107" s="34"/>
      <c r="I107" s="19" t="s">
        <v>25</v>
      </c>
      <c r="J107" s="19" t="s">
        <v>25</v>
      </c>
      <c r="K107" s="54"/>
      <c r="L107" s="57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 ht="15">
      <c r="A108" s="20" t="s">
        <v>10</v>
      </c>
      <c r="B108" s="32" t="s">
        <v>272</v>
      </c>
      <c r="C108" s="33">
        <v>44247.557638888888</v>
      </c>
      <c r="D108" s="19" t="s">
        <v>298</v>
      </c>
      <c r="E108" s="19" t="s">
        <v>13</v>
      </c>
      <c r="F108" s="19" t="s">
        <v>14</v>
      </c>
      <c r="G108" s="19" t="s">
        <v>25</v>
      </c>
      <c r="H108" s="34"/>
      <c r="I108" s="19" t="s">
        <v>25</v>
      </c>
      <c r="J108" s="19" t="s">
        <v>25</v>
      </c>
      <c r="K108" s="54"/>
      <c r="L108" s="57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 ht="15">
      <c r="A109" s="20" t="s">
        <v>10</v>
      </c>
      <c r="B109" s="32" t="s">
        <v>271</v>
      </c>
      <c r="C109" s="33">
        <v>44247.556944444441</v>
      </c>
      <c r="D109" s="19" t="s">
        <v>285</v>
      </c>
      <c r="E109" s="19" t="s">
        <v>13</v>
      </c>
      <c r="F109" s="19" t="s">
        <v>14</v>
      </c>
      <c r="G109" s="19" t="s">
        <v>25</v>
      </c>
      <c r="H109" s="34"/>
      <c r="I109" s="19" t="s">
        <v>25</v>
      </c>
      <c r="J109" s="19" t="s">
        <v>25</v>
      </c>
      <c r="K109" s="54"/>
      <c r="L109" s="57"/>
      <c r="M109" s="18" t="s">
        <v>1514</v>
      </c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 ht="15">
      <c r="A110" s="20" t="s">
        <v>10</v>
      </c>
      <c r="B110" s="32" t="s">
        <v>21</v>
      </c>
      <c r="C110" s="33">
        <v>44247.551388888889</v>
      </c>
      <c r="D110" s="19" t="s">
        <v>273</v>
      </c>
      <c r="E110" s="19" t="s">
        <v>13</v>
      </c>
      <c r="F110" s="19" t="s">
        <v>14</v>
      </c>
      <c r="G110" s="19" t="s">
        <v>15</v>
      </c>
      <c r="H110" s="34">
        <v>246</v>
      </c>
      <c r="I110" s="19" t="s">
        <v>299</v>
      </c>
      <c r="J110" s="19" t="s">
        <v>300</v>
      </c>
      <c r="K110" s="54"/>
      <c r="L110" s="57"/>
      <c r="M110" s="6">
        <f>(C104-C114)*24</f>
        <v>15.500000000058208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 ht="15">
      <c r="A111" s="20" t="s">
        <v>10</v>
      </c>
      <c r="B111" s="32" t="s">
        <v>11</v>
      </c>
      <c r="C111" s="33">
        <v>44247.465277777781</v>
      </c>
      <c r="D111" s="19" t="s">
        <v>301</v>
      </c>
      <c r="E111" s="19" t="s">
        <v>13</v>
      </c>
      <c r="F111" s="19" t="s">
        <v>14</v>
      </c>
      <c r="G111" s="19" t="s">
        <v>15</v>
      </c>
      <c r="H111" s="34">
        <v>311</v>
      </c>
      <c r="I111" s="19" t="s">
        <v>299</v>
      </c>
      <c r="J111" s="19" t="s">
        <v>302</v>
      </c>
      <c r="K111" s="54"/>
      <c r="L111" s="57">
        <f t="shared" si="1"/>
        <v>7.721175176904825E-4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 ht="15">
      <c r="A112" s="20" t="s">
        <v>10</v>
      </c>
      <c r="B112" s="32" t="s">
        <v>28</v>
      </c>
      <c r="C112" s="33">
        <v>44246.967361111114</v>
      </c>
      <c r="D112" s="19" t="s">
        <v>303</v>
      </c>
      <c r="E112" s="19" t="s">
        <v>13</v>
      </c>
      <c r="F112" s="19" t="s">
        <v>14</v>
      </c>
      <c r="G112" s="19" t="s">
        <v>96</v>
      </c>
      <c r="H112" s="34">
        <v>329</v>
      </c>
      <c r="I112" s="19" t="s">
        <v>304</v>
      </c>
      <c r="J112" s="19" t="s">
        <v>305</v>
      </c>
      <c r="K112" s="54"/>
      <c r="L112" s="57">
        <f t="shared" si="1"/>
        <v>1.1794289910071322E-3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 ht="15">
      <c r="A113" s="20" t="s">
        <v>10</v>
      </c>
      <c r="B113" s="32" t="s">
        <v>21</v>
      </c>
      <c r="C113" s="33">
        <v>44246.954861111109</v>
      </c>
      <c r="D113" s="19" t="s">
        <v>22</v>
      </c>
      <c r="E113" s="19" t="s">
        <v>13</v>
      </c>
      <c r="F113" s="19" t="s">
        <v>14</v>
      </c>
      <c r="G113" s="19" t="s">
        <v>96</v>
      </c>
      <c r="H113" s="34">
        <v>311</v>
      </c>
      <c r="I113" s="19" t="s">
        <v>306</v>
      </c>
      <c r="J113" s="19" t="s">
        <v>307</v>
      </c>
      <c r="K113" s="54"/>
      <c r="L113" s="57">
        <f t="shared" si="1"/>
        <v>1.9079366979639016E-3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 ht="15.75" thickBot="1">
      <c r="A114" s="20" t="s">
        <v>10</v>
      </c>
      <c r="B114" s="42" t="s">
        <v>26</v>
      </c>
      <c r="C114" s="43">
        <v>44246.947916666664</v>
      </c>
      <c r="D114" s="47" t="s">
        <v>298</v>
      </c>
      <c r="E114" s="47" t="s">
        <v>13</v>
      </c>
      <c r="F114" s="47" t="s">
        <v>14</v>
      </c>
      <c r="G114" s="47" t="s">
        <v>25</v>
      </c>
      <c r="H114" s="48"/>
      <c r="I114" s="47" t="s">
        <v>25</v>
      </c>
      <c r="J114" s="47" t="s">
        <v>25</v>
      </c>
      <c r="K114" s="59"/>
      <c r="L114" s="60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 ht="15">
      <c r="A115" s="20" t="s">
        <v>10</v>
      </c>
      <c r="B115" s="24" t="s">
        <v>23</v>
      </c>
      <c r="C115" s="25">
        <v>44246.946527777778</v>
      </c>
      <c r="D115" s="26" t="s">
        <v>285</v>
      </c>
      <c r="E115" s="26" t="s">
        <v>13</v>
      </c>
      <c r="F115" s="26" t="s">
        <v>14</v>
      </c>
      <c r="G115" s="26" t="s">
        <v>25</v>
      </c>
      <c r="H115" s="27"/>
      <c r="I115" s="61" t="s">
        <v>306</v>
      </c>
      <c r="J115" s="61" t="s">
        <v>307</v>
      </c>
      <c r="K115" s="27"/>
      <c r="L115" s="28"/>
      <c r="M115" s="29"/>
      <c r="N115" s="30" t="s">
        <v>271</v>
      </c>
      <c r="O115" s="30" t="s">
        <v>23</v>
      </c>
      <c r="P115" s="30" t="s">
        <v>1498</v>
      </c>
      <c r="Q115" s="30" t="s">
        <v>1495</v>
      </c>
      <c r="R115" s="31" t="s">
        <v>1499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 ht="15">
      <c r="A116" s="20" t="s">
        <v>10</v>
      </c>
      <c r="B116" s="32" t="s">
        <v>11</v>
      </c>
      <c r="C116" s="33">
        <v>44246.467361111114</v>
      </c>
      <c r="D116" s="19" t="s">
        <v>308</v>
      </c>
      <c r="E116" s="19" t="s">
        <v>13</v>
      </c>
      <c r="F116" s="19" t="s">
        <v>14</v>
      </c>
      <c r="G116" s="19">
        <v>11.3</v>
      </c>
      <c r="H116" s="34">
        <v>49</v>
      </c>
      <c r="I116" s="19" t="s">
        <v>309</v>
      </c>
      <c r="J116" s="19" t="s">
        <v>310</v>
      </c>
      <c r="K116" s="34"/>
      <c r="L116" s="39">
        <f t="shared" si="1"/>
        <v>225.68143435052613</v>
      </c>
      <c r="M116" s="37"/>
      <c r="N116" s="38" t="s">
        <v>1519</v>
      </c>
      <c r="O116" s="38" t="s">
        <v>1518</v>
      </c>
      <c r="P116" s="39">
        <f>SUM(L115:L127)</f>
        <v>872.10173408661535</v>
      </c>
      <c r="Q116" s="39">
        <f>AVERAGE(G116:G122,G124:G125)</f>
        <v>10.644444444444444</v>
      </c>
      <c r="R116" s="46">
        <f>(C115 - C127)*24</f>
        <v>47.499999999941792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 ht="15">
      <c r="A117" s="20" t="s">
        <v>10</v>
      </c>
      <c r="B117" s="32" t="s">
        <v>54</v>
      </c>
      <c r="C117" s="33">
        <v>44246.318055555559</v>
      </c>
      <c r="D117" s="19" t="s">
        <v>311</v>
      </c>
      <c r="E117" s="19" t="s">
        <v>13</v>
      </c>
      <c r="F117" s="19" t="s">
        <v>14</v>
      </c>
      <c r="G117" s="19">
        <v>11.8</v>
      </c>
      <c r="H117" s="34">
        <v>3</v>
      </c>
      <c r="I117" s="19" t="s">
        <v>312</v>
      </c>
      <c r="J117" s="19" t="s">
        <v>313</v>
      </c>
      <c r="K117" s="34"/>
      <c r="L117" s="39">
        <f t="shared" si="1"/>
        <v>71.317473645494303</v>
      </c>
      <c r="M117" s="37"/>
      <c r="N117" s="37"/>
      <c r="O117" s="37"/>
      <c r="P117" s="37"/>
      <c r="Q117" s="37"/>
      <c r="R117" s="41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 ht="15">
      <c r="A118" s="20" t="s">
        <v>10</v>
      </c>
      <c r="B118" s="32" t="s">
        <v>28</v>
      </c>
      <c r="C118" s="33">
        <v>44245.967361111114</v>
      </c>
      <c r="D118" s="19" t="s">
        <v>314</v>
      </c>
      <c r="E118" s="19" t="s">
        <v>13</v>
      </c>
      <c r="F118" s="19" t="s">
        <v>14</v>
      </c>
      <c r="G118" s="19">
        <v>10.8</v>
      </c>
      <c r="H118" s="34">
        <v>20</v>
      </c>
      <c r="I118" s="19" t="s">
        <v>315</v>
      </c>
      <c r="J118" s="19" t="s">
        <v>316</v>
      </c>
      <c r="K118" s="34"/>
      <c r="L118" s="39">
        <f t="shared" si="1"/>
        <v>170.52926496277499</v>
      </c>
      <c r="M118" s="37"/>
      <c r="N118" s="37"/>
      <c r="O118" s="37"/>
      <c r="P118" s="37"/>
      <c r="Q118" s="37"/>
      <c r="R118" s="41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 ht="15">
      <c r="A119" s="20" t="s">
        <v>10</v>
      </c>
      <c r="B119" s="32" t="s">
        <v>33</v>
      </c>
      <c r="C119" s="33">
        <v>44245.574305555558</v>
      </c>
      <c r="D119" s="19" t="s">
        <v>317</v>
      </c>
      <c r="E119" s="19" t="s">
        <v>13</v>
      </c>
      <c r="F119" s="19" t="s">
        <v>14</v>
      </c>
      <c r="G119" s="19">
        <v>10.6</v>
      </c>
      <c r="H119" s="34">
        <v>42</v>
      </c>
      <c r="I119" s="19" t="s">
        <v>318</v>
      </c>
      <c r="J119" s="19" t="s">
        <v>319</v>
      </c>
      <c r="K119" s="34"/>
      <c r="L119" s="39">
        <f t="shared" si="1"/>
        <v>189.42109592713751</v>
      </c>
      <c r="M119" s="37"/>
      <c r="N119" s="37"/>
      <c r="O119" s="37"/>
      <c r="P119" s="37"/>
      <c r="Q119" s="37"/>
      <c r="R119" s="41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 ht="15">
      <c r="A120" s="20" t="s">
        <v>10</v>
      </c>
      <c r="B120" s="32" t="s">
        <v>33</v>
      </c>
      <c r="C120" s="33">
        <v>44245.550694444442</v>
      </c>
      <c r="D120" s="19" t="s">
        <v>320</v>
      </c>
      <c r="E120" s="19" t="s">
        <v>13</v>
      </c>
      <c r="F120" s="19" t="s">
        <v>14</v>
      </c>
      <c r="G120" s="19">
        <v>11.4</v>
      </c>
      <c r="H120" s="34">
        <v>12</v>
      </c>
      <c r="I120" s="19" t="s">
        <v>321</v>
      </c>
      <c r="J120" s="19" t="s">
        <v>322</v>
      </c>
      <c r="K120" s="34"/>
      <c r="L120" s="39">
        <f t="shared" si="1"/>
        <v>11.548123771255467</v>
      </c>
      <c r="M120" s="37"/>
      <c r="N120" s="37"/>
      <c r="O120" s="37"/>
      <c r="P120" s="37"/>
      <c r="Q120" s="37"/>
      <c r="R120" s="41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28" ht="15">
      <c r="A121" s="20" t="s">
        <v>10</v>
      </c>
      <c r="B121" s="32" t="s">
        <v>33</v>
      </c>
      <c r="C121" s="33">
        <v>44245.543749999997</v>
      </c>
      <c r="D121" s="19" t="s">
        <v>323</v>
      </c>
      <c r="E121" s="19" t="s">
        <v>13</v>
      </c>
      <c r="F121" s="19" t="s">
        <v>14</v>
      </c>
      <c r="G121" s="19">
        <v>11.6</v>
      </c>
      <c r="H121" s="34">
        <v>330</v>
      </c>
      <c r="I121" s="19" t="s">
        <v>324</v>
      </c>
      <c r="J121" s="19" t="s">
        <v>325</v>
      </c>
      <c r="K121" s="34"/>
      <c r="L121" s="39">
        <f t="shared" si="1"/>
        <v>3.4019072736561164</v>
      </c>
      <c r="M121" s="37"/>
      <c r="N121" s="37"/>
      <c r="O121" s="37"/>
      <c r="P121" s="37"/>
      <c r="Q121" s="37"/>
      <c r="R121" s="41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28" ht="15">
      <c r="A122" s="20" t="s">
        <v>10</v>
      </c>
      <c r="B122" s="32" t="s">
        <v>49</v>
      </c>
      <c r="C122" s="33">
        <v>44245.536111111112</v>
      </c>
      <c r="D122" s="19" t="s">
        <v>326</v>
      </c>
      <c r="E122" s="19" t="s">
        <v>13</v>
      </c>
      <c r="F122" s="19" t="s">
        <v>14</v>
      </c>
      <c r="G122" s="19">
        <v>5.7</v>
      </c>
      <c r="H122" s="34">
        <v>27</v>
      </c>
      <c r="I122" s="19" t="s">
        <v>328</v>
      </c>
      <c r="J122" s="19" t="s">
        <v>329</v>
      </c>
      <c r="K122" s="34"/>
      <c r="L122" s="39">
        <f t="shared" si="1"/>
        <v>3.3522542204959955</v>
      </c>
      <c r="M122" s="37"/>
      <c r="N122" s="37"/>
      <c r="O122" s="37"/>
      <c r="P122" s="37"/>
      <c r="Q122" s="37"/>
      <c r="R122" s="41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 ht="15">
      <c r="A123" s="20" t="s">
        <v>10</v>
      </c>
      <c r="B123" s="32" t="s">
        <v>58</v>
      </c>
      <c r="C123" s="33">
        <v>44245.499305555553</v>
      </c>
      <c r="D123" s="19" t="s">
        <v>330</v>
      </c>
      <c r="E123" s="19" t="s">
        <v>13</v>
      </c>
      <c r="F123" s="19" t="s">
        <v>14</v>
      </c>
      <c r="G123" s="19">
        <v>0.1</v>
      </c>
      <c r="H123" s="34">
        <v>194</v>
      </c>
      <c r="I123" s="19" t="s">
        <v>331</v>
      </c>
      <c r="J123" s="19" t="s">
        <v>332</v>
      </c>
      <c r="K123" s="34"/>
      <c r="L123" s="39">
        <f t="shared" si="1"/>
        <v>0.3169437606920516</v>
      </c>
      <c r="M123" s="37"/>
      <c r="N123" s="37"/>
      <c r="O123" s="37"/>
      <c r="P123" s="37"/>
      <c r="Q123" s="37"/>
      <c r="R123" s="41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 ht="15">
      <c r="A124" s="20" t="s">
        <v>10</v>
      </c>
      <c r="B124" s="32" t="s">
        <v>11</v>
      </c>
      <c r="C124" s="33">
        <v>44245.467361111114</v>
      </c>
      <c r="D124" s="19" t="s">
        <v>333</v>
      </c>
      <c r="E124" s="19" t="s">
        <v>13</v>
      </c>
      <c r="F124" s="19" t="s">
        <v>14</v>
      </c>
      <c r="G124" s="19">
        <v>11.6</v>
      </c>
      <c r="H124" s="34">
        <v>32</v>
      </c>
      <c r="I124" s="19" t="s">
        <v>334</v>
      </c>
      <c r="J124" s="19" t="s">
        <v>335</v>
      </c>
      <c r="K124" s="34"/>
      <c r="L124" s="39">
        <f t="shared" si="1"/>
        <v>8.8542897784578649</v>
      </c>
      <c r="M124" s="37"/>
      <c r="N124" s="37"/>
      <c r="O124" s="37"/>
      <c r="P124" s="37"/>
      <c r="Q124" s="37"/>
      <c r="R124" s="41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 ht="15">
      <c r="A125" s="20" t="s">
        <v>10</v>
      </c>
      <c r="B125" s="32" t="s">
        <v>33</v>
      </c>
      <c r="C125" s="33">
        <v>44244.98541666667</v>
      </c>
      <c r="D125" s="19" t="s">
        <v>336</v>
      </c>
      <c r="E125" s="19" t="s">
        <v>13</v>
      </c>
      <c r="F125" s="19" t="s">
        <v>14</v>
      </c>
      <c r="G125" s="19">
        <v>11</v>
      </c>
      <c r="H125" s="34">
        <v>274</v>
      </c>
      <c r="I125" s="19" t="s">
        <v>337</v>
      </c>
      <c r="J125" s="19" t="s">
        <v>338</v>
      </c>
      <c r="K125" s="34"/>
      <c r="L125" s="39">
        <f t="shared" si="1"/>
        <v>184.39644575274681</v>
      </c>
      <c r="M125" s="37"/>
      <c r="N125" s="37"/>
      <c r="O125" s="37"/>
      <c r="P125" s="37"/>
      <c r="Q125" s="37"/>
      <c r="R125" s="41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ht="15">
      <c r="A126" s="20" t="s">
        <v>10</v>
      </c>
      <c r="B126" s="32" t="s">
        <v>49</v>
      </c>
      <c r="C126" s="33">
        <v>44244.977777777778</v>
      </c>
      <c r="D126" s="19" t="s">
        <v>339</v>
      </c>
      <c r="E126" s="19" t="s">
        <v>13</v>
      </c>
      <c r="F126" s="19" t="s">
        <v>14</v>
      </c>
      <c r="G126" s="19">
        <v>4.9000000000000004</v>
      </c>
      <c r="H126" s="34">
        <v>356</v>
      </c>
      <c r="I126" s="19" t="s">
        <v>340</v>
      </c>
      <c r="J126" s="19" t="s">
        <v>341</v>
      </c>
      <c r="K126" s="34"/>
      <c r="L126" s="39">
        <f t="shared" si="1"/>
        <v>2.881595149508704</v>
      </c>
      <c r="M126" s="37"/>
      <c r="N126" s="37"/>
      <c r="O126" s="37"/>
      <c r="P126" s="37"/>
      <c r="Q126" s="37"/>
      <c r="R126" s="41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5.75" thickBot="1">
      <c r="A127" s="20" t="s">
        <v>10</v>
      </c>
      <c r="B127" s="42" t="s">
        <v>28</v>
      </c>
      <c r="C127" s="43">
        <v>44244.967361111114</v>
      </c>
      <c r="D127" s="47" t="s">
        <v>342</v>
      </c>
      <c r="E127" s="47" t="s">
        <v>13</v>
      </c>
      <c r="F127" s="47" t="s">
        <v>14</v>
      </c>
      <c r="G127" s="47" t="s">
        <v>96</v>
      </c>
      <c r="H127" s="48">
        <v>193</v>
      </c>
      <c r="I127" s="47" t="s">
        <v>343</v>
      </c>
      <c r="J127" s="47" t="s">
        <v>344</v>
      </c>
      <c r="K127" s="48"/>
      <c r="L127" s="62">
        <f t="shared" si="1"/>
        <v>0.40090549386933927</v>
      </c>
      <c r="M127" s="50"/>
      <c r="N127" s="50"/>
      <c r="O127" s="50"/>
      <c r="P127" s="50"/>
      <c r="Q127" s="50"/>
      <c r="R127" s="51"/>
      <c r="S127" s="44" t="s">
        <v>1510</v>
      </c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5">
      <c r="A128" s="20" t="s">
        <v>10</v>
      </c>
      <c r="B128" s="24" t="s">
        <v>58</v>
      </c>
      <c r="C128" s="25">
        <v>44244.929166666669</v>
      </c>
      <c r="D128" s="26" t="s">
        <v>345</v>
      </c>
      <c r="E128" s="26" t="s">
        <v>13</v>
      </c>
      <c r="F128" s="26" t="s">
        <v>14</v>
      </c>
      <c r="G128" s="26">
        <v>0.4</v>
      </c>
      <c r="H128" s="27">
        <v>213</v>
      </c>
      <c r="I128" s="26" t="s">
        <v>346</v>
      </c>
      <c r="J128" s="26">
        <v>8.4622779999999995</v>
      </c>
      <c r="K128" s="27"/>
      <c r="L128" s="63">
        <f t="shared" si="1"/>
        <v>1.4702829988675755E-2</v>
      </c>
      <c r="M128" s="29"/>
      <c r="N128" s="30" t="s">
        <v>271</v>
      </c>
      <c r="O128" s="30" t="s">
        <v>23</v>
      </c>
      <c r="P128" s="30" t="s">
        <v>1498</v>
      </c>
      <c r="Q128" s="30" t="s">
        <v>1495</v>
      </c>
      <c r="R128" s="31" t="s">
        <v>1499</v>
      </c>
      <c r="S128" s="45">
        <f>(C127 - C128)*24</f>
        <v>0.91666666668606922</v>
      </c>
      <c r="T128" s="6"/>
      <c r="U128" s="6"/>
      <c r="V128" s="6"/>
      <c r="W128" s="6"/>
      <c r="X128" s="6"/>
      <c r="Y128" s="6"/>
      <c r="Z128" s="6"/>
      <c r="AA128" s="6"/>
      <c r="AB128" s="6"/>
    </row>
    <row r="129" spans="1:28" ht="15">
      <c r="A129" s="20" t="s">
        <v>10</v>
      </c>
      <c r="B129" s="32" t="s">
        <v>33</v>
      </c>
      <c r="C129" s="33">
        <v>44244.925694444442</v>
      </c>
      <c r="D129" s="19" t="s">
        <v>347</v>
      </c>
      <c r="E129" s="19" t="s">
        <v>13</v>
      </c>
      <c r="F129" s="19" t="s">
        <v>14</v>
      </c>
      <c r="G129" s="19">
        <v>8.6999999999999993</v>
      </c>
      <c r="H129" s="34">
        <v>125</v>
      </c>
      <c r="I129" s="19" t="s">
        <v>348</v>
      </c>
      <c r="J129" s="19" t="s">
        <v>349</v>
      </c>
      <c r="K129" s="34"/>
      <c r="L129" s="39">
        <f t="shared" si="1"/>
        <v>0.64345768309531959</v>
      </c>
      <c r="M129" s="37"/>
      <c r="N129" s="38" t="s">
        <v>1520</v>
      </c>
      <c r="O129" s="38" t="s">
        <v>1519</v>
      </c>
      <c r="P129" s="39">
        <f>SUM(L128:L135)</f>
        <v>26.530244360993201</v>
      </c>
      <c r="Q129" s="39">
        <f>AVERAGE(G129:G134)</f>
        <v>11.75</v>
      </c>
      <c r="R129" s="46">
        <f>(C128 - C135)*24</f>
        <v>1.2833333333255723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 ht="15">
      <c r="A130" s="20" t="s">
        <v>10</v>
      </c>
      <c r="B130" s="32" t="s">
        <v>33</v>
      </c>
      <c r="C130" s="33">
        <v>44244.907638888886</v>
      </c>
      <c r="D130" s="19" t="s">
        <v>350</v>
      </c>
      <c r="E130" s="19" t="s">
        <v>13</v>
      </c>
      <c r="F130" s="19" t="s">
        <v>14</v>
      </c>
      <c r="G130" s="19">
        <v>12.1</v>
      </c>
      <c r="H130" s="34">
        <v>86</v>
      </c>
      <c r="I130" s="19" t="s">
        <v>351</v>
      </c>
      <c r="J130" s="19" t="s">
        <v>352</v>
      </c>
      <c r="K130" s="34"/>
      <c r="L130" s="39">
        <f t="shared" si="1"/>
        <v>9.5238752047555639</v>
      </c>
      <c r="M130" s="37"/>
      <c r="N130" s="37"/>
      <c r="O130" s="37"/>
      <c r="P130" s="37"/>
      <c r="Q130" s="37"/>
      <c r="R130" s="41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 ht="15">
      <c r="A131" s="20" t="s">
        <v>10</v>
      </c>
      <c r="B131" s="32" t="s">
        <v>33</v>
      </c>
      <c r="C131" s="33">
        <v>44244.899305555555</v>
      </c>
      <c r="D131" s="19" t="s">
        <v>353</v>
      </c>
      <c r="E131" s="19" t="s">
        <v>13</v>
      </c>
      <c r="F131" s="19" t="s">
        <v>14</v>
      </c>
      <c r="G131" s="19">
        <v>12.2</v>
      </c>
      <c r="H131" s="34">
        <v>52</v>
      </c>
      <c r="I131" s="19" t="s">
        <v>354</v>
      </c>
      <c r="J131" s="19" t="s">
        <v>355</v>
      </c>
      <c r="K131" s="34"/>
      <c r="L131" s="39">
        <f t="shared" si="1"/>
        <v>4.3418165518919558</v>
      </c>
      <c r="M131" s="37"/>
      <c r="N131" s="37"/>
      <c r="O131" s="37"/>
      <c r="P131" s="37"/>
      <c r="Q131" s="37"/>
      <c r="R131" s="41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 ht="15">
      <c r="A132" s="20" t="s">
        <v>10</v>
      </c>
      <c r="B132" s="32" t="s">
        <v>33</v>
      </c>
      <c r="C132" s="33">
        <v>44244.89166666667</v>
      </c>
      <c r="D132" s="19" t="s">
        <v>356</v>
      </c>
      <c r="E132" s="19" t="s">
        <v>13</v>
      </c>
      <c r="F132" s="19" t="s">
        <v>14</v>
      </c>
      <c r="G132" s="19">
        <v>12.5</v>
      </c>
      <c r="H132" s="34">
        <v>3</v>
      </c>
      <c r="I132" s="19" t="s">
        <v>357</v>
      </c>
      <c r="J132" s="19" t="s">
        <v>358</v>
      </c>
      <c r="K132" s="34"/>
      <c r="L132" s="39">
        <f t="shared" si="1"/>
        <v>3.8576348538174683</v>
      </c>
      <c r="M132" s="37"/>
      <c r="N132" s="37"/>
      <c r="O132" s="37"/>
      <c r="P132" s="37"/>
      <c r="Q132" s="37"/>
      <c r="R132" s="41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 ht="15">
      <c r="A133" s="20" t="s">
        <v>10</v>
      </c>
      <c r="B133" s="32" t="s">
        <v>359</v>
      </c>
      <c r="C133" s="33">
        <v>44244.886111111111</v>
      </c>
      <c r="D133" s="19" t="s">
        <v>360</v>
      </c>
      <c r="E133" s="19" t="s">
        <v>13</v>
      </c>
      <c r="F133" s="19" t="s">
        <v>14</v>
      </c>
      <c r="G133" s="19">
        <v>12.5</v>
      </c>
      <c r="H133" s="34">
        <v>334</v>
      </c>
      <c r="I133" s="19" t="s">
        <v>361</v>
      </c>
      <c r="J133" s="19" t="s">
        <v>362</v>
      </c>
      <c r="K133" s="34"/>
      <c r="L133" s="39">
        <f t="shared" si="1"/>
        <v>3.3218656539920235</v>
      </c>
      <c r="M133" s="37"/>
      <c r="N133" s="37"/>
      <c r="O133" s="37"/>
      <c r="P133" s="37"/>
      <c r="Q133" s="37"/>
      <c r="R133" s="41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1:28" ht="15">
      <c r="A134" s="20" t="s">
        <v>10</v>
      </c>
      <c r="B134" s="32" t="s">
        <v>33</v>
      </c>
      <c r="C134" s="33">
        <v>44244.883333333331</v>
      </c>
      <c r="D134" s="19" t="s">
        <v>363</v>
      </c>
      <c r="E134" s="19" t="s">
        <v>13</v>
      </c>
      <c r="F134" s="19" t="s">
        <v>364</v>
      </c>
      <c r="G134" s="19">
        <v>12.5</v>
      </c>
      <c r="H134" s="34">
        <v>333</v>
      </c>
      <c r="I134" s="19" t="s">
        <v>365</v>
      </c>
      <c r="J134" s="19" t="s">
        <v>366</v>
      </c>
      <c r="K134" s="34"/>
      <c r="L134" s="39">
        <f t="shared" si="1"/>
        <v>1.4852401305357836</v>
      </c>
      <c r="M134" s="37"/>
      <c r="N134" s="37"/>
      <c r="O134" s="37"/>
      <c r="P134" s="37"/>
      <c r="Q134" s="37"/>
      <c r="R134" s="41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 ht="15.75" thickBot="1">
      <c r="A135" s="20" t="s">
        <v>10</v>
      </c>
      <c r="B135" s="42" t="s">
        <v>49</v>
      </c>
      <c r="C135" s="43">
        <v>44244.875694444447</v>
      </c>
      <c r="D135" s="47" t="s">
        <v>367</v>
      </c>
      <c r="E135" s="47" t="s">
        <v>13</v>
      </c>
      <c r="F135" s="47" t="s">
        <v>364</v>
      </c>
      <c r="G135" s="47">
        <v>5.2</v>
      </c>
      <c r="H135" s="48">
        <v>254</v>
      </c>
      <c r="I135" s="47" t="s">
        <v>368</v>
      </c>
      <c r="J135" s="47" t="s">
        <v>369</v>
      </c>
      <c r="K135" s="48"/>
      <c r="L135" s="62">
        <f t="shared" si="1"/>
        <v>3.3416514529164121</v>
      </c>
      <c r="M135" s="50"/>
      <c r="N135" s="50"/>
      <c r="O135" s="50"/>
      <c r="P135" s="50"/>
      <c r="Q135" s="50"/>
      <c r="R135" s="51"/>
      <c r="S135" s="44" t="s">
        <v>1510</v>
      </c>
      <c r="T135" s="6"/>
      <c r="U135" s="6"/>
      <c r="V135" s="6"/>
      <c r="W135" s="6"/>
      <c r="X135" s="6"/>
      <c r="Y135" s="6"/>
      <c r="Z135" s="6"/>
      <c r="AA135" s="6"/>
      <c r="AB135" s="6"/>
    </row>
    <row r="136" spans="1:28" ht="15">
      <c r="A136" s="20" t="s">
        <v>10</v>
      </c>
      <c r="B136" s="24" t="s">
        <v>58</v>
      </c>
      <c r="C136" s="25">
        <v>44244.852777777778</v>
      </c>
      <c r="D136" s="26" t="s">
        <v>370</v>
      </c>
      <c r="E136" s="26" t="s">
        <v>13</v>
      </c>
      <c r="F136" s="26" t="s">
        <v>364</v>
      </c>
      <c r="G136" s="26" t="s">
        <v>96</v>
      </c>
      <c r="H136" s="27">
        <v>9</v>
      </c>
      <c r="I136" s="26" t="s">
        <v>371</v>
      </c>
      <c r="J136" s="26" t="s">
        <v>372</v>
      </c>
      <c r="K136" s="27"/>
      <c r="L136" s="63">
        <f t="shared" si="1"/>
        <v>8.515772411101119E-2</v>
      </c>
      <c r="M136" s="29"/>
      <c r="N136" s="30" t="s">
        <v>271</v>
      </c>
      <c r="O136" s="30" t="s">
        <v>23</v>
      </c>
      <c r="P136" s="30" t="s">
        <v>1498</v>
      </c>
      <c r="Q136" s="30" t="s">
        <v>1495</v>
      </c>
      <c r="R136" s="31" t="s">
        <v>1499</v>
      </c>
      <c r="S136" s="45">
        <f>(C135 - C136)*24</f>
        <v>0.55000000004656613</v>
      </c>
      <c r="T136" s="6"/>
      <c r="U136" s="6"/>
      <c r="V136" s="6"/>
      <c r="W136" s="6"/>
      <c r="X136" s="6"/>
      <c r="Y136" s="6"/>
      <c r="Z136" s="6"/>
      <c r="AA136" s="6"/>
      <c r="AB136" s="6"/>
    </row>
    <row r="137" spans="1:28" ht="15">
      <c r="A137" s="20" t="s">
        <v>10</v>
      </c>
      <c r="B137" s="32" t="s">
        <v>33</v>
      </c>
      <c r="C137" s="33">
        <v>44244.849305555559</v>
      </c>
      <c r="D137" s="19" t="s">
        <v>373</v>
      </c>
      <c r="E137" s="19" t="s">
        <v>13</v>
      </c>
      <c r="F137" s="19" t="s">
        <v>364</v>
      </c>
      <c r="G137" s="19">
        <v>3.6</v>
      </c>
      <c r="H137" s="34">
        <v>228</v>
      </c>
      <c r="I137" s="19" t="s">
        <v>374</v>
      </c>
      <c r="J137" s="19" t="s">
        <v>375</v>
      </c>
      <c r="K137" s="34"/>
      <c r="L137" s="39">
        <f t="shared" si="1"/>
        <v>0.2639978387110602</v>
      </c>
      <c r="M137" s="37"/>
      <c r="N137" s="38" t="s">
        <v>1521</v>
      </c>
      <c r="O137" s="38" t="s">
        <v>1520</v>
      </c>
      <c r="P137" s="39">
        <f>SUM(L136:L139)</f>
        <v>3.5669677346061519</v>
      </c>
      <c r="Q137" s="39">
        <f>AVERAGE(G137:G142)</f>
        <v>5.5333333333333341</v>
      </c>
      <c r="R137" s="46">
        <f>(C136 - C139)*24</f>
        <v>0.26666666666278616</v>
      </c>
      <c r="S137" s="6"/>
      <c r="T137" s="6"/>
      <c r="U137" s="392" t="s">
        <v>1570</v>
      </c>
      <c r="V137" s="392"/>
      <c r="W137" s="392"/>
      <c r="X137" s="6"/>
      <c r="Y137" s="6"/>
      <c r="Z137" s="6"/>
      <c r="AA137" s="6"/>
      <c r="AB137" s="6"/>
    </row>
    <row r="138" spans="1:28" ht="15">
      <c r="A138" s="20" t="s">
        <v>10</v>
      </c>
      <c r="B138" s="32" t="s">
        <v>376</v>
      </c>
      <c r="C138" s="33">
        <v>44244.849305555559</v>
      </c>
      <c r="D138" s="19" t="s">
        <v>364</v>
      </c>
      <c r="E138" s="19" t="s">
        <v>13</v>
      </c>
      <c r="F138" s="19" t="s">
        <v>364</v>
      </c>
      <c r="G138" s="19">
        <v>3.6</v>
      </c>
      <c r="H138" s="34">
        <v>228</v>
      </c>
      <c r="I138" s="19" t="s">
        <v>374</v>
      </c>
      <c r="J138" s="19" t="s">
        <v>375</v>
      </c>
      <c r="K138" s="34"/>
      <c r="L138" s="39">
        <f t="shared" si="1"/>
        <v>0</v>
      </c>
      <c r="M138" s="37"/>
      <c r="N138" s="37"/>
      <c r="O138" s="37"/>
      <c r="P138" s="37"/>
      <c r="Q138" s="37"/>
      <c r="R138" s="41"/>
      <c r="S138" s="6"/>
      <c r="T138" s="6"/>
      <c r="U138" s="52" t="s">
        <v>1498</v>
      </c>
      <c r="V138" s="52" t="s">
        <v>1512</v>
      </c>
      <c r="W138" s="52" t="s">
        <v>1513</v>
      </c>
      <c r="X138" s="6"/>
      <c r="Y138" s="6"/>
      <c r="Z138" s="6"/>
      <c r="AA138" s="6"/>
      <c r="AB138" s="6"/>
    </row>
    <row r="139" spans="1:28" ht="15.75" thickBot="1">
      <c r="A139" s="20" t="s">
        <v>10</v>
      </c>
      <c r="B139" s="42" t="s">
        <v>49</v>
      </c>
      <c r="C139" s="43">
        <v>44244.841666666667</v>
      </c>
      <c r="D139" s="47" t="s">
        <v>377</v>
      </c>
      <c r="E139" s="47" t="s">
        <v>13</v>
      </c>
      <c r="F139" s="47" t="s">
        <v>364</v>
      </c>
      <c r="G139" s="47">
        <v>7.8</v>
      </c>
      <c r="H139" s="48">
        <v>162</v>
      </c>
      <c r="I139" s="47" t="s">
        <v>378</v>
      </c>
      <c r="J139" s="47" t="s">
        <v>379</v>
      </c>
      <c r="K139" s="48"/>
      <c r="L139" s="62">
        <f t="shared" si="1"/>
        <v>3.2178121717840806</v>
      </c>
      <c r="M139" s="50"/>
      <c r="N139" s="50"/>
      <c r="O139" s="50"/>
      <c r="P139" s="50"/>
      <c r="Q139" s="50"/>
      <c r="R139" s="51"/>
      <c r="S139" s="44" t="s">
        <v>1510</v>
      </c>
      <c r="T139" s="6"/>
      <c r="U139" s="53">
        <f>SUM(P116,P129,P137,P141,P148,P151,P154,P157,P164,P171,P178)</f>
        <v>1221.3994647286643</v>
      </c>
      <c r="V139" s="53">
        <f>SUM(R116,R129,R137,R141,R148,R151,R154,R157,R164,R171,R178)</f>
        <v>68.700000000069849</v>
      </c>
      <c r="W139" s="53">
        <f>SUM(S128,S136,S140,S147,S150,S153,S156,S163,S170,S177)</f>
        <v>8.6666666666278616</v>
      </c>
      <c r="X139" s="6"/>
      <c r="Y139" s="6"/>
      <c r="Z139" s="6"/>
      <c r="AA139" s="6"/>
      <c r="AB139" s="6"/>
    </row>
    <row r="140" spans="1:28" ht="15">
      <c r="A140" s="20" t="s">
        <v>10</v>
      </c>
      <c r="B140" s="24" t="s">
        <v>58</v>
      </c>
      <c r="C140" s="25">
        <v>44244.815972222219</v>
      </c>
      <c r="D140" s="26" t="s">
        <v>380</v>
      </c>
      <c r="E140" s="26" t="s">
        <v>13</v>
      </c>
      <c r="F140" s="26" t="s">
        <v>364</v>
      </c>
      <c r="G140" s="26">
        <v>0.6</v>
      </c>
      <c r="H140" s="27">
        <v>306</v>
      </c>
      <c r="I140" s="26" t="s">
        <v>382</v>
      </c>
      <c r="J140" s="26" t="s">
        <v>383</v>
      </c>
      <c r="K140" s="27"/>
      <c r="L140" s="63">
        <f t="shared" ref="L140:L203" si="2">ACOS((SIN(I139*PI()/180)*SIN(I140*PI()/180)+COS(I139*PI()/180)*COS(I140*PI()/180)*COS(J140*PI()/180-J139*PI()/180)))*3443.8985*1.852</f>
        <v>0.14586749465902996</v>
      </c>
      <c r="M140" s="29"/>
      <c r="N140" s="30" t="s">
        <v>271</v>
      </c>
      <c r="O140" s="30" t="s">
        <v>23</v>
      </c>
      <c r="P140" s="30" t="s">
        <v>1498</v>
      </c>
      <c r="Q140" s="30" t="s">
        <v>1495</v>
      </c>
      <c r="R140" s="31" t="s">
        <v>1499</v>
      </c>
      <c r="S140" s="45">
        <f>(C139 - C140)*24</f>
        <v>0.61666666675591841</v>
      </c>
      <c r="T140" s="6"/>
      <c r="U140" s="6"/>
      <c r="V140" s="6"/>
      <c r="W140" s="6"/>
      <c r="X140" s="6"/>
      <c r="Y140" s="6"/>
      <c r="Z140" s="6"/>
      <c r="AA140" s="6"/>
      <c r="AB140" s="6"/>
    </row>
    <row r="141" spans="1:28" ht="15">
      <c r="A141" s="20" t="s">
        <v>10</v>
      </c>
      <c r="B141" s="32" t="s">
        <v>33</v>
      </c>
      <c r="C141" s="33">
        <v>44244.813194444447</v>
      </c>
      <c r="D141" s="19" t="s">
        <v>384</v>
      </c>
      <c r="E141" s="19" t="s">
        <v>13</v>
      </c>
      <c r="F141" s="19" t="s">
        <v>364</v>
      </c>
      <c r="G141" s="19">
        <v>7</v>
      </c>
      <c r="H141" s="34">
        <v>68</v>
      </c>
      <c r="I141" s="19" t="s">
        <v>385</v>
      </c>
      <c r="J141" s="19" t="s">
        <v>386</v>
      </c>
      <c r="K141" s="34"/>
      <c r="L141" s="39">
        <f t="shared" si="2"/>
        <v>0.44308047090038177</v>
      </c>
      <c r="M141" s="37"/>
      <c r="N141" s="38" t="s">
        <v>1522</v>
      </c>
      <c r="O141" s="38" t="s">
        <v>1521</v>
      </c>
      <c r="P141" s="39">
        <f>SUM(L140:L146)</f>
        <v>19.038067469206595</v>
      </c>
      <c r="Q141" s="39">
        <f>AVERAGE(G141:G145)</f>
        <v>10.64</v>
      </c>
      <c r="R141" s="46">
        <f>(C140 - C146)*24</f>
        <v>1.0166666666627862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 ht="15">
      <c r="A142" s="20" t="s">
        <v>10</v>
      </c>
      <c r="B142" s="32" t="s">
        <v>33</v>
      </c>
      <c r="C142" s="33">
        <v>44244.800000000003</v>
      </c>
      <c r="D142" s="19" t="s">
        <v>387</v>
      </c>
      <c r="E142" s="19" t="s">
        <v>13</v>
      </c>
      <c r="F142" s="19" t="s">
        <v>14</v>
      </c>
      <c r="G142" s="19">
        <v>10.6</v>
      </c>
      <c r="H142" s="34">
        <v>128</v>
      </c>
      <c r="I142" s="19" t="s">
        <v>388</v>
      </c>
      <c r="J142" s="19" t="s">
        <v>389</v>
      </c>
      <c r="K142" s="34"/>
      <c r="L142" s="39">
        <f t="shared" si="2"/>
        <v>5.7652040515545862</v>
      </c>
      <c r="M142" s="37"/>
      <c r="N142" s="37"/>
      <c r="O142" s="37"/>
      <c r="P142" s="37"/>
      <c r="Q142" s="37"/>
      <c r="R142" s="41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 ht="15">
      <c r="A143" s="20" t="s">
        <v>10</v>
      </c>
      <c r="B143" s="32" t="s">
        <v>33</v>
      </c>
      <c r="C143" s="33">
        <v>44244.792361111111</v>
      </c>
      <c r="D143" s="19" t="s">
        <v>390</v>
      </c>
      <c r="E143" s="19" t="s">
        <v>13</v>
      </c>
      <c r="F143" s="19" t="s">
        <v>14</v>
      </c>
      <c r="G143" s="19">
        <v>11.6</v>
      </c>
      <c r="H143" s="34">
        <v>77</v>
      </c>
      <c r="I143" s="19" t="s">
        <v>391</v>
      </c>
      <c r="J143" s="19" t="s">
        <v>392</v>
      </c>
      <c r="K143" s="34"/>
      <c r="L143" s="39">
        <f t="shared" si="2"/>
        <v>3.5949630088613804</v>
      </c>
      <c r="M143" s="37"/>
      <c r="N143" s="37"/>
      <c r="O143" s="37"/>
      <c r="P143" s="37"/>
      <c r="Q143" s="37"/>
      <c r="R143" s="41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 ht="15">
      <c r="A144" s="20" t="s">
        <v>10</v>
      </c>
      <c r="B144" s="32" t="s">
        <v>33</v>
      </c>
      <c r="C144" s="33">
        <v>44244.78125</v>
      </c>
      <c r="D144" s="19" t="s">
        <v>393</v>
      </c>
      <c r="E144" s="19" t="s">
        <v>13</v>
      </c>
      <c r="F144" s="19" t="s">
        <v>14</v>
      </c>
      <c r="G144" s="19">
        <v>12</v>
      </c>
      <c r="H144" s="34">
        <v>45</v>
      </c>
      <c r="I144" s="19" t="s">
        <v>394</v>
      </c>
      <c r="J144" s="19" t="s">
        <v>395</v>
      </c>
      <c r="K144" s="34"/>
      <c r="L144" s="39">
        <f t="shared" si="2"/>
        <v>5.958065923939035</v>
      </c>
      <c r="M144" s="37"/>
      <c r="N144" s="37"/>
      <c r="O144" s="37"/>
      <c r="P144" s="37"/>
      <c r="Q144" s="37"/>
      <c r="R144" s="41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 ht="15">
      <c r="A145" s="20" t="s">
        <v>10</v>
      </c>
      <c r="B145" s="32" t="s">
        <v>359</v>
      </c>
      <c r="C145" s="33">
        <v>44244.779861111114</v>
      </c>
      <c r="D145" s="19" t="s">
        <v>396</v>
      </c>
      <c r="E145" s="19" t="s">
        <v>13</v>
      </c>
      <c r="F145" s="19" t="s">
        <v>14</v>
      </c>
      <c r="G145" s="19">
        <v>12</v>
      </c>
      <c r="H145" s="34">
        <v>45</v>
      </c>
      <c r="I145" s="19" t="s">
        <v>397</v>
      </c>
      <c r="J145" s="19" t="s">
        <v>398</v>
      </c>
      <c r="K145" s="34"/>
      <c r="L145" s="39">
        <f t="shared" si="2"/>
        <v>0.48904037858207727</v>
      </c>
      <c r="M145" s="37"/>
      <c r="N145" s="37"/>
      <c r="O145" s="37"/>
      <c r="P145" s="37"/>
      <c r="Q145" s="37"/>
      <c r="R145" s="41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 ht="15.75" thickBot="1">
      <c r="A146" s="20" t="s">
        <v>10</v>
      </c>
      <c r="B146" s="42" t="s">
        <v>49</v>
      </c>
      <c r="C146" s="43">
        <v>44244.773611111108</v>
      </c>
      <c r="D146" s="47" t="s">
        <v>399</v>
      </c>
      <c r="E146" s="47" t="s">
        <v>13</v>
      </c>
      <c r="F146" s="47" t="s">
        <v>364</v>
      </c>
      <c r="G146" s="47">
        <v>3.9</v>
      </c>
      <c r="H146" s="48">
        <v>336</v>
      </c>
      <c r="I146" s="47" t="s">
        <v>400</v>
      </c>
      <c r="J146" s="47" t="s">
        <v>401</v>
      </c>
      <c r="K146" s="48"/>
      <c r="L146" s="62">
        <f t="shared" si="2"/>
        <v>2.6418461407101033</v>
      </c>
      <c r="M146" s="50"/>
      <c r="N146" s="50"/>
      <c r="O146" s="50"/>
      <c r="P146" s="50"/>
      <c r="Q146" s="50"/>
      <c r="R146" s="51"/>
      <c r="S146" s="44" t="s">
        <v>1510</v>
      </c>
      <c r="T146" s="6"/>
      <c r="U146" s="6"/>
      <c r="V146" s="6"/>
      <c r="W146" s="6"/>
      <c r="X146" s="6"/>
      <c r="Y146" s="6"/>
      <c r="Z146" s="6"/>
      <c r="AA146" s="6"/>
      <c r="AB146" s="6"/>
    </row>
    <row r="147" spans="1:28" ht="15">
      <c r="A147" s="20" t="s">
        <v>10</v>
      </c>
      <c r="B147" s="24" t="s">
        <v>58</v>
      </c>
      <c r="C147" s="25">
        <v>44244.724305555559</v>
      </c>
      <c r="D147" s="26" t="s">
        <v>402</v>
      </c>
      <c r="E147" s="26" t="s">
        <v>13</v>
      </c>
      <c r="F147" s="26" t="s">
        <v>364</v>
      </c>
      <c r="G147" s="26" t="s">
        <v>71</v>
      </c>
      <c r="H147" s="27">
        <v>328</v>
      </c>
      <c r="I147" s="26" t="s">
        <v>403</v>
      </c>
      <c r="J147" s="26" t="s">
        <v>404</v>
      </c>
      <c r="K147" s="27"/>
      <c r="L147" s="63">
        <f t="shared" si="2"/>
        <v>0.18709756566729593</v>
      </c>
      <c r="M147" s="29"/>
      <c r="N147" s="30" t="s">
        <v>271</v>
      </c>
      <c r="O147" s="30" t="s">
        <v>23</v>
      </c>
      <c r="P147" s="30" t="s">
        <v>1498</v>
      </c>
      <c r="Q147" s="30" t="s">
        <v>1495</v>
      </c>
      <c r="R147" s="31" t="s">
        <v>1499</v>
      </c>
      <c r="S147" s="45">
        <f>(C146 - C147)*24</f>
        <v>1.1833333331742324</v>
      </c>
      <c r="T147" s="6"/>
      <c r="U147" s="6"/>
      <c r="V147" s="6"/>
      <c r="W147" s="6"/>
      <c r="X147" s="6"/>
      <c r="Y147" s="6"/>
      <c r="Z147" s="6"/>
      <c r="AA147" s="6"/>
      <c r="AB147" s="6"/>
    </row>
    <row r="148" spans="1:28" ht="15">
      <c r="A148" s="20" t="s">
        <v>10</v>
      </c>
      <c r="B148" s="32" t="s">
        <v>33</v>
      </c>
      <c r="C148" s="33">
        <v>44244.718055555553</v>
      </c>
      <c r="D148" s="19" t="s">
        <v>405</v>
      </c>
      <c r="E148" s="19" t="s">
        <v>13</v>
      </c>
      <c r="F148" s="19" t="s">
        <v>364</v>
      </c>
      <c r="G148" s="19">
        <v>10.5</v>
      </c>
      <c r="H148" s="34">
        <v>33</v>
      </c>
      <c r="I148" s="19" t="s">
        <v>406</v>
      </c>
      <c r="J148" s="19" t="s">
        <v>407</v>
      </c>
      <c r="K148" s="34"/>
      <c r="L148" s="39">
        <f t="shared" si="2"/>
        <v>1.6081471520042061</v>
      </c>
      <c r="M148" s="37"/>
      <c r="N148" s="38" t="s">
        <v>1523</v>
      </c>
      <c r="O148" s="38" t="s">
        <v>1522</v>
      </c>
      <c r="P148" s="39">
        <f>SUM(L147:L149)</f>
        <v>4.9053829790563883</v>
      </c>
      <c r="Q148" s="39">
        <f>AVERAGE(G148)</f>
        <v>10.5</v>
      </c>
      <c r="R148" s="46">
        <f>(C147 - C149)*24</f>
        <v>0.31666666682576761</v>
      </c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1:28" ht="15.75" thickBot="1">
      <c r="A149" s="20" t="s">
        <v>10</v>
      </c>
      <c r="B149" s="42" t="s">
        <v>49</v>
      </c>
      <c r="C149" s="43">
        <v>44244.711111111108</v>
      </c>
      <c r="D149" s="47" t="s">
        <v>408</v>
      </c>
      <c r="E149" s="47" t="s">
        <v>13</v>
      </c>
      <c r="F149" s="47" t="s">
        <v>364</v>
      </c>
      <c r="G149" s="47" t="s">
        <v>237</v>
      </c>
      <c r="H149" s="48">
        <v>79</v>
      </c>
      <c r="I149" s="47" t="s">
        <v>409</v>
      </c>
      <c r="J149" s="47" t="s">
        <v>410</v>
      </c>
      <c r="K149" s="48"/>
      <c r="L149" s="62">
        <f t="shared" si="2"/>
        <v>3.1101382613848862</v>
      </c>
      <c r="M149" s="50"/>
      <c r="N149" s="50"/>
      <c r="O149" s="50"/>
      <c r="P149" s="50"/>
      <c r="Q149" s="50"/>
      <c r="R149" s="51"/>
      <c r="S149" s="44" t="s">
        <v>1510</v>
      </c>
      <c r="T149" s="6"/>
      <c r="U149" s="6"/>
      <c r="V149" s="6"/>
      <c r="W149" s="6"/>
      <c r="X149" s="6"/>
      <c r="Y149" s="6"/>
      <c r="Z149" s="6"/>
      <c r="AA149" s="6"/>
      <c r="AB149" s="6"/>
    </row>
    <row r="150" spans="1:28" ht="15">
      <c r="A150" s="20" t="s">
        <v>10</v>
      </c>
      <c r="B150" s="24" t="s">
        <v>58</v>
      </c>
      <c r="C150" s="25">
        <v>44244.683333333334</v>
      </c>
      <c r="D150" s="26" t="s">
        <v>411</v>
      </c>
      <c r="E150" s="26" t="s">
        <v>13</v>
      </c>
      <c r="F150" s="26" t="s">
        <v>364</v>
      </c>
      <c r="G150" s="26" t="s">
        <v>96</v>
      </c>
      <c r="H150" s="27">
        <v>38</v>
      </c>
      <c r="I150" s="26" t="s">
        <v>412</v>
      </c>
      <c r="J150" s="26" t="s">
        <v>413</v>
      </c>
      <c r="K150" s="27"/>
      <c r="L150" s="63">
        <f t="shared" si="2"/>
        <v>0.24727845027415449</v>
      </c>
      <c r="M150" s="29"/>
      <c r="N150" s="30" t="s">
        <v>271</v>
      </c>
      <c r="O150" s="30" t="s">
        <v>23</v>
      </c>
      <c r="P150" s="30" t="s">
        <v>1498</v>
      </c>
      <c r="Q150" s="30" t="s">
        <v>1495</v>
      </c>
      <c r="R150" s="31" t="s">
        <v>1499</v>
      </c>
      <c r="S150" s="45">
        <f>(C149 - C150)*24</f>
        <v>0.6666666665696539</v>
      </c>
      <c r="T150" s="6"/>
      <c r="U150" s="6"/>
      <c r="V150" s="6"/>
      <c r="W150" s="6"/>
      <c r="X150" s="6"/>
      <c r="Y150" s="6"/>
      <c r="Z150" s="6"/>
      <c r="AA150" s="6"/>
      <c r="AB150" s="6"/>
    </row>
    <row r="151" spans="1:28" ht="15">
      <c r="A151" s="20" t="s">
        <v>10</v>
      </c>
      <c r="B151" s="32" t="s">
        <v>33</v>
      </c>
      <c r="C151" s="33">
        <v>44244.675000000003</v>
      </c>
      <c r="D151" s="19" t="s">
        <v>414</v>
      </c>
      <c r="E151" s="19" t="s">
        <v>13</v>
      </c>
      <c r="F151" s="19" t="s">
        <v>364</v>
      </c>
      <c r="G151" s="19">
        <v>12.1</v>
      </c>
      <c r="H151" s="34">
        <v>46</v>
      </c>
      <c r="I151" s="19" t="s">
        <v>415</v>
      </c>
      <c r="J151" s="19" t="s">
        <v>416</v>
      </c>
      <c r="K151" s="34"/>
      <c r="L151" s="39">
        <f t="shared" si="2"/>
        <v>3.0172692050189278</v>
      </c>
      <c r="M151" s="37"/>
      <c r="N151" s="38" t="s">
        <v>1524</v>
      </c>
      <c r="O151" s="38" t="s">
        <v>1523</v>
      </c>
      <c r="P151" s="39">
        <f>SUM(L150:L152)</f>
        <v>8.5843782158997008</v>
      </c>
      <c r="Q151" s="39">
        <f>AVERAGE(G151)</f>
        <v>12.1</v>
      </c>
      <c r="R151" s="46">
        <f>(C150 - C152)*24</f>
        <v>0.5166666666045785</v>
      </c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 ht="15.75" thickBot="1">
      <c r="A152" s="20" t="s">
        <v>10</v>
      </c>
      <c r="B152" s="42" t="s">
        <v>49</v>
      </c>
      <c r="C152" s="43">
        <v>44244.661805555559</v>
      </c>
      <c r="D152" s="47" t="s">
        <v>417</v>
      </c>
      <c r="E152" s="47" t="s">
        <v>13</v>
      </c>
      <c r="F152" s="47" t="s">
        <v>364</v>
      </c>
      <c r="G152" s="47" t="s">
        <v>418</v>
      </c>
      <c r="H152" s="48">
        <v>87</v>
      </c>
      <c r="I152" s="47" t="s">
        <v>419</v>
      </c>
      <c r="J152" s="47" t="s">
        <v>420</v>
      </c>
      <c r="K152" s="48"/>
      <c r="L152" s="62">
        <f t="shared" si="2"/>
        <v>5.3198305606066185</v>
      </c>
      <c r="M152" s="50"/>
      <c r="N152" s="50"/>
      <c r="O152" s="50"/>
      <c r="P152" s="50"/>
      <c r="Q152" s="50"/>
      <c r="R152" s="51"/>
      <c r="S152" s="44" t="s">
        <v>1510</v>
      </c>
      <c r="T152" s="6"/>
      <c r="U152" s="6"/>
      <c r="V152" s="6"/>
      <c r="W152" s="6"/>
      <c r="X152" s="6"/>
      <c r="Y152" s="6"/>
      <c r="Z152" s="6"/>
      <c r="AA152" s="6"/>
      <c r="AB152" s="6"/>
    </row>
    <row r="153" spans="1:28" ht="15">
      <c r="A153" s="20" t="s">
        <v>10</v>
      </c>
      <c r="B153" s="24" t="s">
        <v>58</v>
      </c>
      <c r="C153" s="25">
        <v>44244.61041666667</v>
      </c>
      <c r="D153" s="26" t="s">
        <v>421</v>
      </c>
      <c r="E153" s="26" t="s">
        <v>13</v>
      </c>
      <c r="F153" s="26" t="s">
        <v>364</v>
      </c>
      <c r="G153" s="26" t="s">
        <v>60</v>
      </c>
      <c r="H153" s="27">
        <v>141</v>
      </c>
      <c r="I153" s="26" t="s">
        <v>422</v>
      </c>
      <c r="J153" s="26" t="s">
        <v>423</v>
      </c>
      <c r="K153" s="27"/>
      <c r="L153" s="63">
        <f t="shared" si="2"/>
        <v>7.3411787969672085E-2</v>
      </c>
      <c r="M153" s="29"/>
      <c r="N153" s="30" t="s">
        <v>271</v>
      </c>
      <c r="O153" s="30" t="s">
        <v>23</v>
      </c>
      <c r="P153" s="30" t="s">
        <v>1498</v>
      </c>
      <c r="Q153" s="30" t="s">
        <v>1495</v>
      </c>
      <c r="R153" s="31" t="s">
        <v>1499</v>
      </c>
      <c r="S153" s="45">
        <f>(C152 - C153)*24</f>
        <v>1.2333333333372138</v>
      </c>
      <c r="T153" s="6"/>
      <c r="U153" s="6"/>
      <c r="V153" s="6"/>
      <c r="W153" s="6"/>
      <c r="X153" s="6"/>
      <c r="Y153" s="6"/>
      <c r="Z153" s="6"/>
      <c r="AA153" s="6"/>
      <c r="AB153" s="6"/>
    </row>
    <row r="154" spans="1:28" ht="15">
      <c r="A154" s="20" t="s">
        <v>10</v>
      </c>
      <c r="B154" s="32" t="s">
        <v>33</v>
      </c>
      <c r="C154" s="33">
        <v>44244.606944444444</v>
      </c>
      <c r="D154" s="19" t="s">
        <v>424</v>
      </c>
      <c r="E154" s="19" t="s">
        <v>13</v>
      </c>
      <c r="F154" s="19" t="s">
        <v>364</v>
      </c>
      <c r="G154" s="19">
        <v>6.2</v>
      </c>
      <c r="H154" s="34">
        <v>106</v>
      </c>
      <c r="I154" s="19" t="s">
        <v>425</v>
      </c>
      <c r="J154" s="19" t="s">
        <v>426</v>
      </c>
      <c r="K154" s="34"/>
      <c r="L154" s="39">
        <f t="shared" si="2"/>
        <v>0.6085030757006038</v>
      </c>
      <c r="M154" s="37"/>
      <c r="N154" s="38" t="s">
        <v>1525</v>
      </c>
      <c r="O154" s="38" t="s">
        <v>1524</v>
      </c>
      <c r="P154" s="39">
        <f>SUM(L153:L155)</f>
        <v>3.0882525933906297</v>
      </c>
      <c r="Q154" s="39">
        <f>AVERAGE(G154)</f>
        <v>6.2</v>
      </c>
      <c r="R154" s="46">
        <f>(C153 - C155)*24</f>
        <v>0.25000000011641532</v>
      </c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ht="15.75" thickBot="1">
      <c r="A155" s="20" t="s">
        <v>10</v>
      </c>
      <c r="B155" s="42" t="s">
        <v>49</v>
      </c>
      <c r="C155" s="43">
        <v>44244.6</v>
      </c>
      <c r="D155" s="47" t="s">
        <v>427</v>
      </c>
      <c r="E155" s="47" t="s">
        <v>13</v>
      </c>
      <c r="F155" s="47" t="s">
        <v>364</v>
      </c>
      <c r="G155" s="47" t="s">
        <v>261</v>
      </c>
      <c r="H155" s="48">
        <v>221</v>
      </c>
      <c r="I155" s="47" t="s">
        <v>428</v>
      </c>
      <c r="J155" s="47" t="s">
        <v>429</v>
      </c>
      <c r="K155" s="48"/>
      <c r="L155" s="62">
        <f t="shared" si="2"/>
        <v>2.4063377297203541</v>
      </c>
      <c r="M155" s="50"/>
      <c r="N155" s="50"/>
      <c r="O155" s="50"/>
      <c r="P155" s="50"/>
      <c r="Q155" s="50"/>
      <c r="R155" s="51"/>
      <c r="S155" s="44" t="s">
        <v>1510</v>
      </c>
      <c r="T155" s="6"/>
      <c r="U155" s="6"/>
      <c r="V155" s="6"/>
      <c r="W155" s="6"/>
      <c r="X155" s="6"/>
      <c r="Y155" s="6"/>
      <c r="Z155" s="6"/>
      <c r="AA155" s="6"/>
      <c r="AB155" s="6"/>
    </row>
    <row r="156" spans="1:28" ht="15">
      <c r="A156" s="20" t="s">
        <v>10</v>
      </c>
      <c r="B156" s="24" t="s">
        <v>58</v>
      </c>
      <c r="C156" s="25">
        <v>44244.586111111108</v>
      </c>
      <c r="D156" s="26" t="s">
        <v>430</v>
      </c>
      <c r="E156" s="26" t="s">
        <v>13</v>
      </c>
      <c r="F156" s="26" t="s">
        <v>364</v>
      </c>
      <c r="G156" s="26">
        <v>0.9</v>
      </c>
      <c r="H156" s="27">
        <v>275</v>
      </c>
      <c r="I156" s="26" t="s">
        <v>431</v>
      </c>
      <c r="J156" s="26" t="s">
        <v>432</v>
      </c>
      <c r="K156" s="27"/>
      <c r="L156" s="63">
        <f t="shared" si="2"/>
        <v>0.18469923435373303</v>
      </c>
      <c r="M156" s="29"/>
      <c r="N156" s="30" t="s">
        <v>271</v>
      </c>
      <c r="O156" s="30" t="s">
        <v>23</v>
      </c>
      <c r="P156" s="30" t="s">
        <v>1498</v>
      </c>
      <c r="Q156" s="30" t="s">
        <v>1495</v>
      </c>
      <c r="R156" s="31" t="s">
        <v>1499</v>
      </c>
      <c r="S156" s="45">
        <f>(C155 - C156)*24</f>
        <v>0.33333333337213844</v>
      </c>
      <c r="T156" s="6"/>
      <c r="U156" s="6"/>
      <c r="V156" s="6"/>
      <c r="W156" s="6"/>
      <c r="X156" s="6"/>
      <c r="Y156" s="6"/>
      <c r="Z156" s="6"/>
      <c r="AA156" s="6"/>
      <c r="AB156" s="6"/>
    </row>
    <row r="157" spans="1:28" ht="15">
      <c r="A157" s="20" t="s">
        <v>10</v>
      </c>
      <c r="B157" s="32" t="s">
        <v>359</v>
      </c>
      <c r="C157" s="33">
        <v>44244.555555555555</v>
      </c>
      <c r="D157" s="19" t="s">
        <v>433</v>
      </c>
      <c r="E157" s="19" t="s">
        <v>13</v>
      </c>
      <c r="F157" s="19" t="s">
        <v>14</v>
      </c>
      <c r="G157" s="19">
        <v>12.4</v>
      </c>
      <c r="H157" s="34">
        <v>55</v>
      </c>
      <c r="I157" s="19" t="s">
        <v>434</v>
      </c>
      <c r="J157" s="19" t="s">
        <v>435</v>
      </c>
      <c r="K157" s="34"/>
      <c r="L157" s="39">
        <f t="shared" si="2"/>
        <v>9.611636639168788</v>
      </c>
      <c r="M157" s="37"/>
      <c r="N157" s="38" t="s">
        <v>1526</v>
      </c>
      <c r="O157" s="38" t="s">
        <v>1525</v>
      </c>
      <c r="P157" s="39">
        <f>SUM(L156:L162)</f>
        <v>69.972063444771294</v>
      </c>
      <c r="Q157" s="39">
        <f>AVERAGE(G157:G161)</f>
        <v>12.16</v>
      </c>
      <c r="R157" s="46">
        <f>(C156 - C162)*24</f>
        <v>3.4833333333372138</v>
      </c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ht="15">
      <c r="A158" s="20" t="s">
        <v>10</v>
      </c>
      <c r="B158" s="32" t="s">
        <v>33</v>
      </c>
      <c r="C158" s="33">
        <v>44244.489583333336</v>
      </c>
      <c r="D158" s="19" t="s">
        <v>436</v>
      </c>
      <c r="E158" s="19" t="s">
        <v>13</v>
      </c>
      <c r="F158" s="19" t="s">
        <v>364</v>
      </c>
      <c r="G158" s="19">
        <v>12.1</v>
      </c>
      <c r="H158" s="34">
        <v>67</v>
      </c>
      <c r="I158" s="19" t="s">
        <v>437</v>
      </c>
      <c r="J158" s="19" t="s">
        <v>438</v>
      </c>
      <c r="K158" s="34"/>
      <c r="L158" s="39">
        <f t="shared" si="2"/>
        <v>35.873188343890391</v>
      </c>
      <c r="M158" s="37"/>
      <c r="N158" s="37"/>
      <c r="O158" s="37"/>
      <c r="P158" s="37"/>
      <c r="Q158" s="37"/>
      <c r="R158" s="41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 ht="15">
      <c r="A159" s="20" t="s">
        <v>10</v>
      </c>
      <c r="B159" s="32" t="s">
        <v>11</v>
      </c>
      <c r="C159" s="33">
        <v>44244.468055555553</v>
      </c>
      <c r="D159" s="19" t="s">
        <v>439</v>
      </c>
      <c r="E159" s="19" t="s">
        <v>13</v>
      </c>
      <c r="F159" s="19" t="s">
        <v>364</v>
      </c>
      <c r="G159" s="19">
        <v>12</v>
      </c>
      <c r="H159" s="34">
        <v>34</v>
      </c>
      <c r="I159" s="19" t="s">
        <v>440</v>
      </c>
      <c r="J159" s="19" t="s">
        <v>441</v>
      </c>
      <c r="K159" s="34"/>
      <c r="L159" s="39">
        <f t="shared" si="2"/>
        <v>11.650898552896313</v>
      </c>
      <c r="M159" s="37"/>
      <c r="N159" s="37"/>
      <c r="O159" s="37"/>
      <c r="P159" s="37"/>
      <c r="Q159" s="37"/>
      <c r="R159" s="41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 ht="15">
      <c r="A160" s="20" t="s">
        <v>10</v>
      </c>
      <c r="B160" s="32" t="s">
        <v>33</v>
      </c>
      <c r="C160" s="33">
        <v>44244.455555555556</v>
      </c>
      <c r="D160" s="19" t="s">
        <v>442</v>
      </c>
      <c r="E160" s="19" t="s">
        <v>13</v>
      </c>
      <c r="F160" s="19" t="s">
        <v>364</v>
      </c>
      <c r="G160" s="19">
        <v>12.3</v>
      </c>
      <c r="H160" s="34">
        <v>26</v>
      </c>
      <c r="I160" s="19" t="s">
        <v>443</v>
      </c>
      <c r="J160" s="19" t="s">
        <v>444</v>
      </c>
      <c r="K160" s="34"/>
      <c r="L160" s="39">
        <f t="shared" si="2"/>
        <v>6.6150752315291621</v>
      </c>
      <c r="M160" s="37"/>
      <c r="N160" s="37"/>
      <c r="O160" s="37"/>
      <c r="P160" s="37"/>
      <c r="Q160" s="37"/>
      <c r="R160" s="41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 ht="15">
      <c r="A161" s="20" t="s">
        <v>10</v>
      </c>
      <c r="B161" s="32" t="s">
        <v>33</v>
      </c>
      <c r="C161" s="33">
        <v>44244.447916666664</v>
      </c>
      <c r="D161" s="19" t="s">
        <v>445</v>
      </c>
      <c r="E161" s="19" t="s">
        <v>13</v>
      </c>
      <c r="F161" s="19" t="s">
        <v>364</v>
      </c>
      <c r="G161" s="19">
        <v>12</v>
      </c>
      <c r="H161" s="34">
        <v>354</v>
      </c>
      <c r="I161" s="19" t="s">
        <v>446</v>
      </c>
      <c r="J161" s="19" t="s">
        <v>447</v>
      </c>
      <c r="K161" s="34"/>
      <c r="L161" s="39">
        <f t="shared" si="2"/>
        <v>3.9413894074701337</v>
      </c>
      <c r="M161" s="37"/>
      <c r="N161" s="37"/>
      <c r="O161" s="37"/>
      <c r="P161" s="37"/>
      <c r="Q161" s="37"/>
      <c r="R161" s="41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 ht="15.75" thickBot="1">
      <c r="A162" s="20" t="s">
        <v>10</v>
      </c>
      <c r="B162" s="42" t="s">
        <v>49</v>
      </c>
      <c r="C162" s="43">
        <v>44244.440972222219</v>
      </c>
      <c r="D162" s="47" t="s">
        <v>448</v>
      </c>
      <c r="E162" s="47" t="s">
        <v>13</v>
      </c>
      <c r="F162" s="47" t="s">
        <v>364</v>
      </c>
      <c r="G162" s="47">
        <v>3.6</v>
      </c>
      <c r="H162" s="48">
        <v>150</v>
      </c>
      <c r="I162" s="47" t="s">
        <v>449</v>
      </c>
      <c r="J162" s="47" t="s">
        <v>450</v>
      </c>
      <c r="K162" s="48"/>
      <c r="L162" s="62">
        <f t="shared" si="2"/>
        <v>2.0951760354627682</v>
      </c>
      <c r="M162" s="50"/>
      <c r="N162" s="50"/>
      <c r="O162" s="50"/>
      <c r="P162" s="50"/>
      <c r="Q162" s="50"/>
      <c r="R162" s="51"/>
      <c r="S162" s="44" t="s">
        <v>1510</v>
      </c>
      <c r="T162" s="6"/>
      <c r="U162" s="6"/>
      <c r="V162" s="6"/>
      <c r="W162" s="6"/>
      <c r="X162" s="6"/>
      <c r="Y162" s="6"/>
      <c r="Z162" s="6"/>
      <c r="AA162" s="6"/>
      <c r="AB162" s="6"/>
    </row>
    <row r="163" spans="1:28" ht="15">
      <c r="A163" s="20" t="s">
        <v>10</v>
      </c>
      <c r="B163" s="24" t="s">
        <v>58</v>
      </c>
      <c r="C163" s="25">
        <v>44244.355555555558</v>
      </c>
      <c r="D163" s="26" t="s">
        <v>451</v>
      </c>
      <c r="E163" s="26" t="s">
        <v>13</v>
      </c>
      <c r="F163" s="26" t="s">
        <v>364</v>
      </c>
      <c r="G163" s="26" t="s">
        <v>71</v>
      </c>
      <c r="H163" s="27">
        <v>339</v>
      </c>
      <c r="I163" s="26" t="s">
        <v>452</v>
      </c>
      <c r="J163" s="26" t="s">
        <v>453</v>
      </c>
      <c r="K163" s="27"/>
      <c r="L163" s="63">
        <f t="shared" si="2"/>
        <v>0.25147622712955897</v>
      </c>
      <c r="M163" s="29"/>
      <c r="N163" s="30" t="s">
        <v>271</v>
      </c>
      <c r="O163" s="30" t="s">
        <v>23</v>
      </c>
      <c r="P163" s="30" t="s">
        <v>1498</v>
      </c>
      <c r="Q163" s="30" t="s">
        <v>1495</v>
      </c>
      <c r="R163" s="31" t="s">
        <v>1499</v>
      </c>
      <c r="S163" s="45">
        <f>(C162 - C163)*24</f>
        <v>2.0499999998719431</v>
      </c>
      <c r="T163" s="6"/>
      <c r="U163" s="6"/>
      <c r="V163" s="6"/>
      <c r="W163" s="6"/>
      <c r="X163" s="6"/>
      <c r="Y163" s="6"/>
      <c r="Z163" s="6"/>
      <c r="AA163" s="6"/>
      <c r="AB163" s="6"/>
    </row>
    <row r="164" spans="1:28" ht="15">
      <c r="A164" s="20" t="s">
        <v>10</v>
      </c>
      <c r="B164" s="32" t="s">
        <v>33</v>
      </c>
      <c r="C164" s="33">
        <v>44244.343055555553</v>
      </c>
      <c r="D164" s="19" t="s">
        <v>454</v>
      </c>
      <c r="E164" s="19" t="s">
        <v>13</v>
      </c>
      <c r="F164" s="19" t="s">
        <v>364</v>
      </c>
      <c r="G164" s="19">
        <v>12</v>
      </c>
      <c r="H164" s="34">
        <v>301</v>
      </c>
      <c r="I164" s="19" t="s">
        <v>455</v>
      </c>
      <c r="J164" s="19" t="s">
        <v>456</v>
      </c>
      <c r="K164" s="34"/>
      <c r="L164" s="39">
        <f t="shared" si="2"/>
        <v>4.5191190689057885</v>
      </c>
      <c r="M164" s="37"/>
      <c r="N164" s="38" t="s">
        <v>1527</v>
      </c>
      <c r="O164" s="38" t="s">
        <v>1526</v>
      </c>
      <c r="P164" s="39">
        <f>SUM(L163:L169)</f>
        <v>30.327692049890608</v>
      </c>
      <c r="Q164" s="39">
        <f>AVERAGE(G164:G167)</f>
        <v>12.25</v>
      </c>
      <c r="R164" s="46">
        <f>(C163 - C169)*24</f>
        <v>1.5499999999883585</v>
      </c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 ht="15">
      <c r="A165" s="20" t="s">
        <v>10</v>
      </c>
      <c r="B165" s="32" t="s">
        <v>33</v>
      </c>
      <c r="C165" s="33">
        <v>44244.324305555558</v>
      </c>
      <c r="D165" s="19" t="s">
        <v>457</v>
      </c>
      <c r="E165" s="19" t="s">
        <v>13</v>
      </c>
      <c r="F165" s="19" t="s">
        <v>364</v>
      </c>
      <c r="G165" s="19">
        <v>12.1</v>
      </c>
      <c r="H165" s="34">
        <v>269</v>
      </c>
      <c r="I165" s="19" t="s">
        <v>458</v>
      </c>
      <c r="J165" s="19" t="s">
        <v>459</v>
      </c>
      <c r="K165" s="34"/>
      <c r="L165" s="39">
        <f t="shared" si="2"/>
        <v>9.7196164678644692</v>
      </c>
      <c r="M165" s="37"/>
      <c r="N165" s="37"/>
      <c r="O165" s="37"/>
      <c r="P165" s="37"/>
      <c r="Q165" s="37"/>
      <c r="R165" s="41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 ht="15">
      <c r="A166" s="20" t="s">
        <v>10</v>
      </c>
      <c r="B166" s="32" t="s">
        <v>33</v>
      </c>
      <c r="C166" s="33">
        <v>44244.316666666666</v>
      </c>
      <c r="D166" s="19" t="s">
        <v>460</v>
      </c>
      <c r="E166" s="19" t="s">
        <v>13</v>
      </c>
      <c r="F166" s="19" t="s">
        <v>364</v>
      </c>
      <c r="G166" s="19">
        <v>12.5</v>
      </c>
      <c r="H166" s="34">
        <v>343</v>
      </c>
      <c r="I166" s="19" t="s">
        <v>461</v>
      </c>
      <c r="J166" s="19" t="s">
        <v>462</v>
      </c>
      <c r="K166" s="34"/>
      <c r="L166" s="39">
        <f t="shared" si="2"/>
        <v>3.7385431722552984</v>
      </c>
      <c r="M166" s="37"/>
      <c r="N166" s="37"/>
      <c r="O166" s="37"/>
      <c r="P166" s="37"/>
      <c r="Q166" s="37"/>
      <c r="R166" s="41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 ht="15">
      <c r="A167" s="20" t="s">
        <v>10</v>
      </c>
      <c r="B167" s="32" t="s">
        <v>33</v>
      </c>
      <c r="C167" s="33">
        <v>44244.298611111109</v>
      </c>
      <c r="D167" s="19" t="s">
        <v>463</v>
      </c>
      <c r="E167" s="19" t="s">
        <v>13</v>
      </c>
      <c r="F167" s="19" t="s">
        <v>364</v>
      </c>
      <c r="G167" s="19">
        <v>12.4</v>
      </c>
      <c r="H167" s="34">
        <v>313</v>
      </c>
      <c r="I167" s="19" t="s">
        <v>464</v>
      </c>
      <c r="J167" s="19" t="s">
        <v>465</v>
      </c>
      <c r="K167" s="34"/>
      <c r="L167" s="39">
        <f t="shared" si="2"/>
        <v>9.8865561124754997</v>
      </c>
      <c r="M167" s="37"/>
      <c r="N167" s="37"/>
      <c r="O167" s="37"/>
      <c r="P167" s="37"/>
      <c r="Q167" s="37"/>
      <c r="R167" s="41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 ht="15">
      <c r="A168" s="20" t="s">
        <v>10</v>
      </c>
      <c r="B168" s="32" t="s">
        <v>155</v>
      </c>
      <c r="C168" s="33">
        <v>44244.290972222225</v>
      </c>
      <c r="D168" s="19" t="s">
        <v>466</v>
      </c>
      <c r="E168" s="19" t="s">
        <v>13</v>
      </c>
      <c r="F168" s="19" t="s">
        <v>364</v>
      </c>
      <c r="G168" s="19">
        <v>0.1</v>
      </c>
      <c r="H168" s="34">
        <v>283</v>
      </c>
      <c r="I168" s="19" t="s">
        <v>467</v>
      </c>
      <c r="J168" s="19" t="s">
        <v>468</v>
      </c>
      <c r="K168" s="34"/>
      <c r="L168" s="39">
        <f t="shared" si="2"/>
        <v>2.1135759646398502</v>
      </c>
      <c r="M168" s="37"/>
      <c r="N168" s="37"/>
      <c r="O168" s="37"/>
      <c r="P168" s="37"/>
      <c r="Q168" s="37"/>
      <c r="R168" s="41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 ht="15.75" thickBot="1">
      <c r="A169" s="20" t="s">
        <v>10</v>
      </c>
      <c r="B169" s="42" t="s">
        <v>49</v>
      </c>
      <c r="C169" s="43">
        <v>44244.290972222225</v>
      </c>
      <c r="D169" s="47" t="s">
        <v>469</v>
      </c>
      <c r="E169" s="47" t="s">
        <v>13</v>
      </c>
      <c r="F169" s="47" t="s">
        <v>364</v>
      </c>
      <c r="G169" s="47">
        <v>4.2</v>
      </c>
      <c r="H169" s="48">
        <v>212</v>
      </c>
      <c r="I169" s="47" t="s">
        <v>470</v>
      </c>
      <c r="J169" s="47" t="s">
        <v>471</v>
      </c>
      <c r="K169" s="48"/>
      <c r="L169" s="62">
        <f t="shared" si="2"/>
        <v>9.8805036620141062E-2</v>
      </c>
      <c r="M169" s="50"/>
      <c r="N169" s="50"/>
      <c r="O169" s="50"/>
      <c r="P169" s="50"/>
      <c r="Q169" s="50"/>
      <c r="R169" s="51"/>
      <c r="S169" s="44" t="s">
        <v>1510</v>
      </c>
      <c r="T169" s="6"/>
      <c r="U169" s="6"/>
      <c r="V169" s="6"/>
      <c r="W169" s="6"/>
      <c r="X169" s="6"/>
      <c r="Y169" s="6"/>
      <c r="Z169" s="6"/>
      <c r="AA169" s="6"/>
      <c r="AB169" s="6"/>
    </row>
    <row r="170" spans="1:28" ht="15">
      <c r="A170" s="20" t="s">
        <v>10</v>
      </c>
      <c r="B170" s="24" t="s">
        <v>58</v>
      </c>
      <c r="C170" s="25">
        <v>44244.251388888886</v>
      </c>
      <c r="D170" s="26" t="s">
        <v>472</v>
      </c>
      <c r="E170" s="26" t="s">
        <v>13</v>
      </c>
      <c r="F170" s="26" t="s">
        <v>364</v>
      </c>
      <c r="G170" s="26" t="s">
        <v>15</v>
      </c>
      <c r="H170" s="27">
        <v>15</v>
      </c>
      <c r="I170" s="26" t="s">
        <v>473</v>
      </c>
      <c r="J170" s="26" t="s">
        <v>474</v>
      </c>
      <c r="K170" s="27"/>
      <c r="L170" s="63">
        <f t="shared" si="2"/>
        <v>0.14597282161533706</v>
      </c>
      <c r="M170" s="29"/>
      <c r="N170" s="30" t="s">
        <v>271</v>
      </c>
      <c r="O170" s="30" t="s">
        <v>23</v>
      </c>
      <c r="P170" s="30" t="s">
        <v>1498</v>
      </c>
      <c r="Q170" s="30" t="s">
        <v>1495</v>
      </c>
      <c r="R170" s="31" t="s">
        <v>1499</v>
      </c>
      <c r="S170" s="45">
        <f>(C169 - C170)*24</f>
        <v>0.95000000012805685</v>
      </c>
      <c r="T170" s="6"/>
      <c r="U170" s="6"/>
      <c r="V170" s="6"/>
      <c r="W170" s="6"/>
      <c r="X170" s="6"/>
      <c r="Y170" s="6"/>
      <c r="Z170" s="6"/>
      <c r="AA170" s="6"/>
      <c r="AB170" s="6"/>
    </row>
    <row r="171" spans="1:28" ht="15">
      <c r="A171" s="20" t="s">
        <v>10</v>
      </c>
      <c r="B171" s="32" t="s">
        <v>159</v>
      </c>
      <c r="C171" s="33">
        <v>44244.248611111114</v>
      </c>
      <c r="D171" s="19" t="s">
        <v>475</v>
      </c>
      <c r="E171" s="19" t="s">
        <v>13</v>
      </c>
      <c r="F171" s="19" t="s">
        <v>364</v>
      </c>
      <c r="G171" s="19" t="s">
        <v>15</v>
      </c>
      <c r="H171" s="34">
        <v>15</v>
      </c>
      <c r="I171" s="19" t="s">
        <v>473</v>
      </c>
      <c r="J171" s="19" t="s">
        <v>476</v>
      </c>
      <c r="K171" s="34"/>
      <c r="L171" s="39">
        <f t="shared" si="2"/>
        <v>1.1717453328158145E-3</v>
      </c>
      <c r="M171" s="37"/>
      <c r="N171" s="38" t="s">
        <v>1531</v>
      </c>
      <c r="O171" s="38" t="s">
        <v>1527</v>
      </c>
      <c r="P171" s="39">
        <f>SUM(L170:L176)</f>
        <v>142.37929818276686</v>
      </c>
      <c r="Q171" s="39">
        <f>AVERAGE(G172:G175)</f>
        <v>11.05</v>
      </c>
      <c r="R171" s="46">
        <f>(C170 - C176)*24</f>
        <v>9.6833333332906477</v>
      </c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ht="15">
      <c r="A172" s="20" t="s">
        <v>10</v>
      </c>
      <c r="B172" s="32" t="s">
        <v>28</v>
      </c>
      <c r="C172" s="33">
        <v>44243.967361111114</v>
      </c>
      <c r="D172" s="19" t="s">
        <v>477</v>
      </c>
      <c r="E172" s="19" t="s">
        <v>13</v>
      </c>
      <c r="F172" s="19" t="s">
        <v>364</v>
      </c>
      <c r="G172" s="19">
        <v>11.4</v>
      </c>
      <c r="H172" s="34">
        <v>70</v>
      </c>
      <c r="I172" s="19" t="s">
        <v>478</v>
      </c>
      <c r="J172" s="19" t="s">
        <v>479</v>
      </c>
      <c r="K172" s="34"/>
      <c r="L172" s="39">
        <f t="shared" si="2"/>
        <v>86.575072972367579</v>
      </c>
      <c r="M172" s="37"/>
      <c r="N172" s="37"/>
      <c r="O172" s="37"/>
      <c r="P172" s="37"/>
      <c r="Q172" s="37"/>
      <c r="R172" s="41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 ht="15">
      <c r="A173" s="20" t="s">
        <v>10</v>
      </c>
      <c r="B173" s="32" t="s">
        <v>359</v>
      </c>
      <c r="C173" s="33">
        <v>44243.893055555556</v>
      </c>
      <c r="D173" s="19" t="s">
        <v>480</v>
      </c>
      <c r="E173" s="19" t="s">
        <v>13</v>
      </c>
      <c r="F173" s="19" t="s">
        <v>364</v>
      </c>
      <c r="G173" s="19">
        <v>10.199999999999999</v>
      </c>
      <c r="H173" s="34">
        <v>352</v>
      </c>
      <c r="I173" s="19" t="s">
        <v>481</v>
      </c>
      <c r="J173" s="19" t="s">
        <v>482</v>
      </c>
      <c r="K173" s="34"/>
      <c r="L173" s="39">
        <f t="shared" si="2"/>
        <v>32.242383286838759</v>
      </c>
      <c r="M173" s="37"/>
      <c r="N173" s="37"/>
      <c r="O173" s="37"/>
      <c r="P173" s="37"/>
      <c r="Q173" s="37"/>
      <c r="R173" s="41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 ht="15">
      <c r="A174" s="20" t="s">
        <v>10</v>
      </c>
      <c r="B174" s="32" t="s">
        <v>359</v>
      </c>
      <c r="C174" s="33">
        <v>44243.865277777775</v>
      </c>
      <c r="D174" s="19" t="s">
        <v>483</v>
      </c>
      <c r="E174" s="19" t="s">
        <v>13</v>
      </c>
      <c r="F174" s="19" t="s">
        <v>364</v>
      </c>
      <c r="G174" s="19">
        <v>11.3</v>
      </c>
      <c r="H174" s="34">
        <v>346</v>
      </c>
      <c r="I174" s="19" t="s">
        <v>484</v>
      </c>
      <c r="J174" s="19" t="s">
        <v>485</v>
      </c>
      <c r="K174" s="34"/>
      <c r="L174" s="39">
        <f t="shared" si="2"/>
        <v>13.055963435413812</v>
      </c>
      <c r="M174" s="37"/>
      <c r="N174" s="37"/>
      <c r="O174" s="37"/>
      <c r="P174" s="37"/>
      <c r="Q174" s="37"/>
      <c r="R174" s="41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 ht="15">
      <c r="A175" s="20" t="s">
        <v>10</v>
      </c>
      <c r="B175" s="32" t="s">
        <v>359</v>
      </c>
      <c r="C175" s="33">
        <v>44243.865277777775</v>
      </c>
      <c r="D175" s="19" t="s">
        <v>486</v>
      </c>
      <c r="E175" s="19" t="s">
        <v>13</v>
      </c>
      <c r="F175" s="19" t="s">
        <v>364</v>
      </c>
      <c r="G175" s="19">
        <v>11.3</v>
      </c>
      <c r="H175" s="34">
        <v>346</v>
      </c>
      <c r="I175" s="19" t="s">
        <v>484</v>
      </c>
      <c r="J175" s="19" t="s">
        <v>485</v>
      </c>
      <c r="K175" s="34"/>
      <c r="L175" s="39">
        <f t="shared" si="2"/>
        <v>0</v>
      </c>
      <c r="M175" s="37"/>
      <c r="N175" s="37"/>
      <c r="O175" s="37"/>
      <c r="P175" s="37"/>
      <c r="Q175" s="37"/>
      <c r="R175" s="41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 ht="15.75" thickBot="1">
      <c r="A176" s="20" t="s">
        <v>10</v>
      </c>
      <c r="B176" s="42" t="s">
        <v>271</v>
      </c>
      <c r="C176" s="43">
        <v>44243.847916666666</v>
      </c>
      <c r="D176" s="47" t="s">
        <v>487</v>
      </c>
      <c r="E176" s="47" t="s">
        <v>13</v>
      </c>
      <c r="F176" s="47" t="s">
        <v>364</v>
      </c>
      <c r="G176" s="47" t="s">
        <v>25</v>
      </c>
      <c r="H176" s="48"/>
      <c r="I176" s="64">
        <v>61.934370000000001</v>
      </c>
      <c r="J176" s="64">
        <v>5.1196200000000003</v>
      </c>
      <c r="K176" s="48"/>
      <c r="L176" s="62">
        <f>ACOS((SIN(I175*PI()/180)*SIN(I176*PI()/180)+COS(I175*PI()/180)*COS(I176*PI()/180)*COS(J176*PI()/180-J175*PI()/180)))*3443.8985*1.852</f>
        <v>10.358733921198573</v>
      </c>
      <c r="M176" s="50"/>
      <c r="N176" s="50"/>
      <c r="O176" s="50"/>
      <c r="P176" s="50"/>
      <c r="Q176" s="50"/>
      <c r="R176" s="51"/>
      <c r="S176" s="44" t="s">
        <v>1510</v>
      </c>
      <c r="T176" s="6"/>
      <c r="U176" s="6"/>
      <c r="V176" s="6"/>
      <c r="W176" s="6"/>
      <c r="X176" s="6"/>
      <c r="Y176" s="6"/>
      <c r="Z176" s="6"/>
      <c r="AA176" s="6"/>
      <c r="AB176" s="6"/>
    </row>
    <row r="177" spans="1:28" ht="15">
      <c r="A177" s="20" t="s">
        <v>10</v>
      </c>
      <c r="B177" s="24" t="s">
        <v>23</v>
      </c>
      <c r="C177" s="25">
        <v>44243.84097222222</v>
      </c>
      <c r="D177" s="26" t="s">
        <v>487</v>
      </c>
      <c r="E177" s="26" t="s">
        <v>13</v>
      </c>
      <c r="F177" s="26" t="s">
        <v>364</v>
      </c>
      <c r="G177" s="26" t="s">
        <v>25</v>
      </c>
      <c r="H177" s="27"/>
      <c r="I177" s="65">
        <v>61.934370000000001</v>
      </c>
      <c r="J177" s="65">
        <v>5.1196200000000003</v>
      </c>
      <c r="K177" s="27"/>
      <c r="L177" s="63">
        <f t="shared" si="2"/>
        <v>0</v>
      </c>
      <c r="M177" s="29"/>
      <c r="N177" s="30" t="s">
        <v>271</v>
      </c>
      <c r="O177" s="30" t="s">
        <v>23</v>
      </c>
      <c r="P177" s="30" t="s">
        <v>1498</v>
      </c>
      <c r="Q177" s="30" t="s">
        <v>1495</v>
      </c>
      <c r="R177" s="31" t="s">
        <v>1499</v>
      </c>
      <c r="S177" s="45">
        <f>(C176 - C177)*24</f>
        <v>0.16666666668606922</v>
      </c>
      <c r="T177" s="6"/>
      <c r="U177" s="6"/>
      <c r="V177" s="6"/>
      <c r="W177" s="6"/>
      <c r="X177" s="6"/>
      <c r="Y177" s="6"/>
      <c r="Z177" s="6"/>
      <c r="AA177" s="6"/>
      <c r="AB177" s="6"/>
    </row>
    <row r="178" spans="1:28" ht="15">
      <c r="A178" s="20" t="s">
        <v>10</v>
      </c>
      <c r="B178" s="32" t="s">
        <v>488</v>
      </c>
      <c r="C178" s="33">
        <v>44243.729166666664</v>
      </c>
      <c r="D178" s="19" t="s">
        <v>489</v>
      </c>
      <c r="E178" s="19" t="s">
        <v>13</v>
      </c>
      <c r="F178" s="19" t="s">
        <v>364</v>
      </c>
      <c r="G178" s="19">
        <v>7.8</v>
      </c>
      <c r="H178" s="34">
        <v>356</v>
      </c>
      <c r="I178" s="19" t="s">
        <v>490</v>
      </c>
      <c r="J178" s="19" t="s">
        <v>491</v>
      </c>
      <c r="K178" s="34"/>
      <c r="L178" s="39">
        <f>ACOS((SIN(I177*PI()/180)*SIN(I178*PI()/180)+COS(I177*PI()/180)*COS(I178*PI()/180)*COS(J178*PI()/180-J177*PI()/180)))*3443.8985*1.852</f>
        <v>38.584245839603248</v>
      </c>
      <c r="M178" s="37"/>
      <c r="N178" s="38" t="s">
        <v>1530</v>
      </c>
      <c r="O178" s="38" t="s">
        <v>1531</v>
      </c>
      <c r="P178" s="39">
        <f>SUM(L177:L180)</f>
        <v>40.905383611467563</v>
      </c>
      <c r="Q178" s="39">
        <f>AVERAGE(G177:G180)</f>
        <v>7.8</v>
      </c>
      <c r="R178" s="46">
        <f>(C177 - C180)*24</f>
        <v>2.8333333333139308</v>
      </c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 ht="15">
      <c r="A179" s="20" t="s">
        <v>10</v>
      </c>
      <c r="B179" s="32" t="s">
        <v>271</v>
      </c>
      <c r="C179" s="33">
        <v>44243.724999999999</v>
      </c>
      <c r="D179" s="19" t="s">
        <v>492</v>
      </c>
      <c r="E179" s="19" t="s">
        <v>13</v>
      </c>
      <c r="F179" s="19" t="s">
        <v>364</v>
      </c>
      <c r="G179" s="19" t="s">
        <v>25</v>
      </c>
      <c r="H179" s="34"/>
      <c r="I179" s="66" t="s">
        <v>494</v>
      </c>
      <c r="J179" s="66" t="s">
        <v>495</v>
      </c>
      <c r="K179" s="34"/>
      <c r="L179" s="39">
        <f t="shared" si="2"/>
        <v>2.3211377718643145</v>
      </c>
      <c r="M179" s="37"/>
      <c r="N179" s="37"/>
      <c r="O179" s="37"/>
      <c r="P179" s="37"/>
      <c r="Q179" s="37"/>
      <c r="R179" s="41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ht="15.75" thickBot="1">
      <c r="A180" s="20" t="s">
        <v>10</v>
      </c>
      <c r="B180" s="42" t="s">
        <v>272</v>
      </c>
      <c r="C180" s="43">
        <v>44243.722916666666</v>
      </c>
      <c r="D180" s="47" t="s">
        <v>493</v>
      </c>
      <c r="E180" s="47" t="s">
        <v>13</v>
      </c>
      <c r="F180" s="47" t="s">
        <v>364</v>
      </c>
      <c r="G180" s="47" t="s">
        <v>25</v>
      </c>
      <c r="H180" s="48"/>
      <c r="I180" s="47" t="s">
        <v>25</v>
      </c>
      <c r="J180" s="47" t="s">
        <v>25</v>
      </c>
      <c r="K180" s="48"/>
      <c r="L180" s="49"/>
      <c r="M180" s="50"/>
      <c r="N180" s="50"/>
      <c r="O180" s="50"/>
      <c r="P180" s="50"/>
      <c r="Q180" s="50"/>
      <c r="R180" s="51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5">
      <c r="A181" s="20" t="s">
        <v>10</v>
      </c>
      <c r="B181" s="24" t="s">
        <v>21</v>
      </c>
      <c r="C181" s="25">
        <v>44243.706250000003</v>
      </c>
      <c r="D181" s="26" t="s">
        <v>273</v>
      </c>
      <c r="E181" s="26" t="s">
        <v>13</v>
      </c>
      <c r="F181" s="26" t="s">
        <v>364</v>
      </c>
      <c r="G181" s="26" t="s">
        <v>15</v>
      </c>
      <c r="H181" s="27">
        <v>275</v>
      </c>
      <c r="I181" s="26" t="s">
        <v>494</v>
      </c>
      <c r="J181" s="26" t="s">
        <v>495</v>
      </c>
      <c r="K181" s="27"/>
      <c r="L181" s="5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5">
      <c r="A182" s="20" t="s">
        <v>10</v>
      </c>
      <c r="B182" s="32" t="s">
        <v>11</v>
      </c>
      <c r="C182" s="33">
        <v>44243.466666666667</v>
      </c>
      <c r="D182" s="19" t="s">
        <v>496</v>
      </c>
      <c r="E182" s="19" t="s">
        <v>13</v>
      </c>
      <c r="F182" s="19" t="s">
        <v>364</v>
      </c>
      <c r="G182" s="19" t="s">
        <v>15</v>
      </c>
      <c r="H182" s="34">
        <v>275</v>
      </c>
      <c r="I182" s="19" t="s">
        <v>497</v>
      </c>
      <c r="J182" s="19" t="s">
        <v>498</v>
      </c>
      <c r="K182" s="34"/>
      <c r="L182" s="57">
        <f t="shared" si="2"/>
        <v>3.4109030067122122E-3</v>
      </c>
      <c r="M182" s="6" t="s">
        <v>1528</v>
      </c>
      <c r="N182" s="6" t="s">
        <v>1529</v>
      </c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ht="15">
      <c r="A183" s="20" t="s">
        <v>10</v>
      </c>
      <c r="B183" s="32" t="s">
        <v>28</v>
      </c>
      <c r="C183" s="33">
        <v>44242.966666666667</v>
      </c>
      <c r="D183" s="19" t="s">
        <v>499</v>
      </c>
      <c r="E183" s="19" t="s">
        <v>13</v>
      </c>
      <c r="F183" s="19" t="s">
        <v>364</v>
      </c>
      <c r="G183" s="19" t="s">
        <v>15</v>
      </c>
      <c r="H183" s="34">
        <v>102</v>
      </c>
      <c r="I183" s="19" t="s">
        <v>500</v>
      </c>
      <c r="J183" s="19" t="s">
        <v>501</v>
      </c>
      <c r="K183" s="34"/>
      <c r="L183" s="57">
        <f t="shared" si="2"/>
        <v>1.231873404292975E-3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 ht="15">
      <c r="A184" s="20" t="s">
        <v>10</v>
      </c>
      <c r="B184" s="32" t="s">
        <v>26</v>
      </c>
      <c r="C184" s="33">
        <v>44242.583333333336</v>
      </c>
      <c r="D184" s="19" t="s">
        <v>493</v>
      </c>
      <c r="E184" s="19" t="s">
        <v>13</v>
      </c>
      <c r="F184" s="19" t="s">
        <v>364</v>
      </c>
      <c r="G184" s="19" t="s">
        <v>25</v>
      </c>
      <c r="H184" s="34"/>
      <c r="I184" s="19" t="s">
        <v>25</v>
      </c>
      <c r="J184" s="34"/>
      <c r="K184" s="34"/>
      <c r="L184" s="57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 ht="15">
      <c r="A185" s="20" t="s">
        <v>10</v>
      </c>
      <c r="B185" s="32" t="s">
        <v>11</v>
      </c>
      <c r="C185" s="33">
        <v>44242.466666666667</v>
      </c>
      <c r="D185" s="19" t="s">
        <v>502</v>
      </c>
      <c r="E185" s="19" t="s">
        <v>13</v>
      </c>
      <c r="F185" s="19" t="s">
        <v>364</v>
      </c>
      <c r="G185" s="19" t="s">
        <v>15</v>
      </c>
      <c r="H185" s="34">
        <v>80</v>
      </c>
      <c r="I185" s="19" t="s">
        <v>503</v>
      </c>
      <c r="J185" s="19" t="s">
        <v>504</v>
      </c>
      <c r="K185" s="34"/>
      <c r="L185" s="57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 ht="15">
      <c r="A186" s="20" t="s">
        <v>10</v>
      </c>
      <c r="B186" s="32" t="s">
        <v>54</v>
      </c>
      <c r="C186" s="33">
        <v>44242.443749999999</v>
      </c>
      <c r="D186" s="19" t="s">
        <v>505</v>
      </c>
      <c r="E186" s="19" t="s">
        <v>13</v>
      </c>
      <c r="F186" s="19" t="s">
        <v>364</v>
      </c>
      <c r="G186" s="19" t="s">
        <v>15</v>
      </c>
      <c r="H186" s="34">
        <v>80</v>
      </c>
      <c r="I186" s="19" t="s">
        <v>506</v>
      </c>
      <c r="J186" s="19" t="s">
        <v>507</v>
      </c>
      <c r="K186" s="34"/>
      <c r="L186" s="57">
        <f t="shared" si="2"/>
        <v>2.288892705870826E-3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 ht="15.75" thickBot="1">
      <c r="A187" s="20" t="s">
        <v>10</v>
      </c>
      <c r="B187" s="42" t="s">
        <v>21</v>
      </c>
      <c r="C187" s="43">
        <v>44242.34375</v>
      </c>
      <c r="D187" s="47" t="s">
        <v>22</v>
      </c>
      <c r="E187" s="47" t="s">
        <v>13</v>
      </c>
      <c r="F187" s="47" t="s">
        <v>364</v>
      </c>
      <c r="G187" s="47" t="s">
        <v>15</v>
      </c>
      <c r="H187" s="48">
        <v>80</v>
      </c>
      <c r="I187" s="47" t="s">
        <v>508</v>
      </c>
      <c r="J187" s="47" t="s">
        <v>509</v>
      </c>
      <c r="K187" s="48"/>
      <c r="L187" s="60">
        <f t="shared" si="2"/>
        <v>1.1562248420346633E-3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 ht="15">
      <c r="A188" s="20" t="s">
        <v>10</v>
      </c>
      <c r="B188" s="24" t="s">
        <v>23</v>
      </c>
      <c r="C188" s="25">
        <v>44242.331944444442</v>
      </c>
      <c r="D188" s="26" t="s">
        <v>492</v>
      </c>
      <c r="E188" s="26" t="s">
        <v>13</v>
      </c>
      <c r="F188" s="26" t="s">
        <v>364</v>
      </c>
      <c r="G188" s="26" t="s">
        <v>25</v>
      </c>
      <c r="H188" s="27"/>
      <c r="I188" s="61" t="s">
        <v>702</v>
      </c>
      <c r="J188" s="61" t="s">
        <v>703</v>
      </c>
      <c r="K188" s="27"/>
      <c r="L188" s="28">
        <f t="shared" si="2"/>
        <v>0.23321239579401801</v>
      </c>
      <c r="M188" s="29"/>
      <c r="N188" s="30" t="s">
        <v>271</v>
      </c>
      <c r="O188" s="30" t="s">
        <v>23</v>
      </c>
      <c r="P188" s="30" t="s">
        <v>1498</v>
      </c>
      <c r="Q188" s="30" t="s">
        <v>1495</v>
      </c>
      <c r="R188" s="31" t="s">
        <v>1499</v>
      </c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 ht="15">
      <c r="A189" s="20" t="s">
        <v>10</v>
      </c>
      <c r="B189" s="32" t="s">
        <v>376</v>
      </c>
      <c r="C189" s="33">
        <v>44242.224999999999</v>
      </c>
      <c r="D189" s="19" t="s">
        <v>510</v>
      </c>
      <c r="E189" s="19" t="s">
        <v>13</v>
      </c>
      <c r="F189" s="19" t="s">
        <v>364</v>
      </c>
      <c r="G189" s="19">
        <v>10.7</v>
      </c>
      <c r="H189" s="34">
        <v>138</v>
      </c>
      <c r="I189" s="19" t="s">
        <v>511</v>
      </c>
      <c r="J189" s="19" t="s">
        <v>512</v>
      </c>
      <c r="K189" s="34"/>
      <c r="L189" s="36">
        <f t="shared" si="2"/>
        <v>36.139208258333255</v>
      </c>
      <c r="M189" s="37"/>
      <c r="N189" s="38" t="s">
        <v>1533</v>
      </c>
      <c r="O189" s="38" t="s">
        <v>1530</v>
      </c>
      <c r="P189" s="39">
        <f>SUM(L188:L213)</f>
        <v>368.72922230020913</v>
      </c>
      <c r="Q189" s="39">
        <f>AVERAGE(G189:G200,G205:G212)</f>
        <v>11.23</v>
      </c>
      <c r="R189" s="46">
        <f>(C188 - C213)*24</f>
        <v>21.083333333255723</v>
      </c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1:28" ht="15">
      <c r="A190" s="20" t="s">
        <v>10</v>
      </c>
      <c r="B190" s="32" t="s">
        <v>376</v>
      </c>
      <c r="C190" s="33">
        <v>44242.224999999999</v>
      </c>
      <c r="D190" s="19" t="s">
        <v>513</v>
      </c>
      <c r="E190" s="19" t="s">
        <v>13</v>
      </c>
      <c r="F190" s="19" t="s">
        <v>364</v>
      </c>
      <c r="G190" s="19">
        <v>10.7</v>
      </c>
      <c r="H190" s="34">
        <v>138</v>
      </c>
      <c r="I190" s="19" t="s">
        <v>511</v>
      </c>
      <c r="J190" s="19" t="s">
        <v>512</v>
      </c>
      <c r="K190" s="34"/>
      <c r="L190" s="36">
        <f>ACOS((SIN(I189*PI()/180)*SIN(I190*PI()/180)+COS(I189*PI()/180)*COS(I190*PI()/180)*COS(J190*PI()/180-J189*PI()/180)))*3443.8985*1.852</f>
        <v>0</v>
      </c>
      <c r="M190" s="37"/>
      <c r="N190" s="37"/>
      <c r="O190" s="37"/>
      <c r="P190" s="37"/>
      <c r="Q190" s="37"/>
      <c r="R190" s="41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 ht="15">
      <c r="A191" s="20" t="s">
        <v>10</v>
      </c>
      <c r="B191" s="32" t="s">
        <v>54</v>
      </c>
      <c r="C191" s="33">
        <v>44242.15347222222</v>
      </c>
      <c r="D191" s="19" t="s">
        <v>514</v>
      </c>
      <c r="E191" s="19" t="s">
        <v>13</v>
      </c>
      <c r="F191" s="19" t="s">
        <v>364</v>
      </c>
      <c r="G191" s="19">
        <v>9</v>
      </c>
      <c r="H191" s="34">
        <v>165</v>
      </c>
      <c r="I191" s="19" t="s">
        <v>515</v>
      </c>
      <c r="J191" s="19" t="s">
        <v>516</v>
      </c>
      <c r="K191" s="34"/>
      <c r="L191" s="36">
        <f t="shared" si="2"/>
        <v>31.366293835052996</v>
      </c>
      <c r="M191" s="37"/>
      <c r="N191" s="37"/>
      <c r="O191" s="37"/>
      <c r="P191" s="37"/>
      <c r="Q191" s="37"/>
      <c r="R191" s="41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 ht="15">
      <c r="A192" s="20" t="s">
        <v>10</v>
      </c>
      <c r="B192" s="32" t="s">
        <v>54</v>
      </c>
      <c r="C192" s="33">
        <v>44242.112500000003</v>
      </c>
      <c r="D192" s="19" t="s">
        <v>517</v>
      </c>
      <c r="E192" s="19" t="s">
        <v>13</v>
      </c>
      <c r="F192" s="19" t="s">
        <v>364</v>
      </c>
      <c r="G192" s="19">
        <v>10.199999999999999</v>
      </c>
      <c r="H192" s="34">
        <v>238</v>
      </c>
      <c r="I192" s="19" t="s">
        <v>518</v>
      </c>
      <c r="J192" s="19" t="s">
        <v>519</v>
      </c>
      <c r="K192" s="34"/>
      <c r="L192" s="36">
        <f t="shared" si="2"/>
        <v>16.481409100934499</v>
      </c>
      <c r="M192" s="37"/>
      <c r="N192" s="37"/>
      <c r="O192" s="37"/>
      <c r="P192" s="37"/>
      <c r="Q192" s="37"/>
      <c r="R192" s="41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ht="15">
      <c r="A193" s="20" t="s">
        <v>10</v>
      </c>
      <c r="B193" s="32" t="s">
        <v>28</v>
      </c>
      <c r="C193" s="33">
        <v>44241.968055555553</v>
      </c>
      <c r="D193" s="19" t="s">
        <v>520</v>
      </c>
      <c r="E193" s="19" t="s">
        <v>13</v>
      </c>
      <c r="F193" s="19" t="s">
        <v>364</v>
      </c>
      <c r="G193" s="19">
        <v>10.1</v>
      </c>
      <c r="H193" s="34">
        <v>226</v>
      </c>
      <c r="I193" s="19" t="s">
        <v>521</v>
      </c>
      <c r="J193" s="19" t="s">
        <v>522</v>
      </c>
      <c r="K193" s="34"/>
      <c r="L193" s="36">
        <f t="shared" si="2"/>
        <v>60.896248328723033</v>
      </c>
      <c r="M193" s="37"/>
      <c r="N193" s="37"/>
      <c r="O193" s="37"/>
      <c r="P193" s="37"/>
      <c r="Q193" s="37"/>
      <c r="R193" s="41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 ht="15">
      <c r="A194" s="20" t="s">
        <v>10</v>
      </c>
      <c r="B194" s="32" t="s">
        <v>376</v>
      </c>
      <c r="C194" s="33">
        <v>44241.810416666667</v>
      </c>
      <c r="D194" s="19" t="s">
        <v>364</v>
      </c>
      <c r="E194" s="19" t="s">
        <v>13</v>
      </c>
      <c r="F194" s="19" t="s">
        <v>364</v>
      </c>
      <c r="G194" s="19">
        <v>11.2</v>
      </c>
      <c r="H194" s="34">
        <v>243</v>
      </c>
      <c r="I194" s="19" t="s">
        <v>523</v>
      </c>
      <c r="J194" s="19" t="s">
        <v>524</v>
      </c>
      <c r="K194" s="34"/>
      <c r="L194" s="36">
        <f t="shared" si="2"/>
        <v>71.861314860840409</v>
      </c>
      <c r="M194" s="37"/>
      <c r="N194" s="37"/>
      <c r="O194" s="37"/>
      <c r="P194" s="37"/>
      <c r="Q194" s="37"/>
      <c r="R194" s="41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 ht="15">
      <c r="A195" s="20" t="s">
        <v>10</v>
      </c>
      <c r="B195" s="32" t="s">
        <v>33</v>
      </c>
      <c r="C195" s="33">
        <v>44241.698611111111</v>
      </c>
      <c r="D195" s="19" t="s">
        <v>525</v>
      </c>
      <c r="E195" s="19" t="s">
        <v>13</v>
      </c>
      <c r="F195" s="19" t="s">
        <v>14</v>
      </c>
      <c r="G195" s="19">
        <v>11.5</v>
      </c>
      <c r="H195" s="34">
        <v>223</v>
      </c>
      <c r="I195" s="19" t="s">
        <v>526</v>
      </c>
      <c r="J195" s="19" t="s">
        <v>527</v>
      </c>
      <c r="K195" s="34"/>
      <c r="L195" s="36">
        <f t="shared" si="2"/>
        <v>56.894643111775686</v>
      </c>
      <c r="M195" s="37"/>
      <c r="N195" s="37"/>
      <c r="O195" s="37"/>
      <c r="P195" s="37"/>
      <c r="Q195" s="37"/>
      <c r="R195" s="41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 ht="15">
      <c r="A196" s="20" t="s">
        <v>10</v>
      </c>
      <c r="B196" s="32" t="s">
        <v>33</v>
      </c>
      <c r="C196" s="33">
        <v>44241.688194444447</v>
      </c>
      <c r="D196" s="19" t="s">
        <v>528</v>
      </c>
      <c r="E196" s="19" t="s">
        <v>13</v>
      </c>
      <c r="F196" s="19" t="s">
        <v>14</v>
      </c>
      <c r="G196" s="19">
        <v>11.2</v>
      </c>
      <c r="H196" s="34">
        <v>193</v>
      </c>
      <c r="I196" s="19" t="s">
        <v>529</v>
      </c>
      <c r="J196" s="19" t="s">
        <v>530</v>
      </c>
      <c r="K196" s="34"/>
      <c r="L196" s="36">
        <f t="shared" si="2"/>
        <v>5.1874059696245194</v>
      </c>
      <c r="M196" s="37"/>
      <c r="N196" s="37"/>
      <c r="O196" s="37"/>
      <c r="P196" s="37"/>
      <c r="Q196" s="37"/>
      <c r="R196" s="41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 ht="15">
      <c r="A197" s="20" t="s">
        <v>10</v>
      </c>
      <c r="B197" s="32" t="s">
        <v>33</v>
      </c>
      <c r="C197" s="33">
        <v>44241.663888888892</v>
      </c>
      <c r="D197" s="19" t="s">
        <v>531</v>
      </c>
      <c r="E197" s="19" t="s">
        <v>13</v>
      </c>
      <c r="F197" s="19" t="s">
        <v>14</v>
      </c>
      <c r="G197" s="19">
        <v>11.4</v>
      </c>
      <c r="H197" s="34">
        <v>163</v>
      </c>
      <c r="I197" s="19" t="s">
        <v>532</v>
      </c>
      <c r="J197" s="19" t="s">
        <v>533</v>
      </c>
      <c r="K197" s="34"/>
      <c r="L197" s="36">
        <f t="shared" si="2"/>
        <v>12.275550061704527</v>
      </c>
      <c r="M197" s="37"/>
      <c r="N197" s="37"/>
      <c r="O197" s="37"/>
      <c r="P197" s="37"/>
      <c r="Q197" s="37"/>
      <c r="R197" s="41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 ht="15">
      <c r="A198" s="20" t="s">
        <v>10</v>
      </c>
      <c r="B198" s="32" t="s">
        <v>33</v>
      </c>
      <c r="C198" s="33">
        <v>44241.645138888889</v>
      </c>
      <c r="D198" s="19" t="s">
        <v>528</v>
      </c>
      <c r="E198" s="19" t="s">
        <v>13</v>
      </c>
      <c r="F198" s="19" t="s">
        <v>14</v>
      </c>
      <c r="G198" s="19">
        <v>11.4</v>
      </c>
      <c r="H198" s="34">
        <v>193</v>
      </c>
      <c r="I198" s="19" t="s">
        <v>534</v>
      </c>
      <c r="J198" s="19" t="s">
        <v>535</v>
      </c>
      <c r="K198" s="34"/>
      <c r="L198" s="36">
        <f t="shared" si="2"/>
        <v>9.1265588939516604</v>
      </c>
      <c r="M198" s="37"/>
      <c r="N198" s="37"/>
      <c r="O198" s="37"/>
      <c r="P198" s="37"/>
      <c r="Q198" s="37"/>
      <c r="R198" s="41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 ht="15">
      <c r="A199" s="20" t="s">
        <v>10</v>
      </c>
      <c r="B199" s="32" t="s">
        <v>33</v>
      </c>
      <c r="C199" s="33">
        <v>44241.629861111112</v>
      </c>
      <c r="D199" s="19" t="s">
        <v>525</v>
      </c>
      <c r="E199" s="19" t="s">
        <v>13</v>
      </c>
      <c r="F199" s="19" t="s">
        <v>14</v>
      </c>
      <c r="G199" s="19">
        <v>12.1</v>
      </c>
      <c r="H199" s="34">
        <v>223</v>
      </c>
      <c r="I199" s="19" t="s">
        <v>536</v>
      </c>
      <c r="J199" s="19" t="s">
        <v>537</v>
      </c>
      <c r="K199" s="34"/>
      <c r="L199" s="36">
        <f t="shared" si="2"/>
        <v>8.4197133518281859</v>
      </c>
      <c r="M199" s="37"/>
      <c r="N199" s="37"/>
      <c r="O199" s="37"/>
      <c r="P199" s="37"/>
      <c r="Q199" s="37"/>
      <c r="R199" s="41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 ht="15">
      <c r="A200" s="20" t="s">
        <v>10</v>
      </c>
      <c r="B200" s="32" t="s">
        <v>33</v>
      </c>
      <c r="C200" s="33">
        <v>44241.603472222225</v>
      </c>
      <c r="D200" s="19" t="s">
        <v>538</v>
      </c>
      <c r="E200" s="19" t="s">
        <v>13</v>
      </c>
      <c r="F200" s="19" t="s">
        <v>14</v>
      </c>
      <c r="G200" s="19">
        <v>11.1</v>
      </c>
      <c r="H200" s="34">
        <v>254</v>
      </c>
      <c r="I200" s="19" t="s">
        <v>540</v>
      </c>
      <c r="J200" s="19" t="s">
        <v>541</v>
      </c>
      <c r="K200" s="34"/>
      <c r="L200" s="36">
        <f t="shared" si="2"/>
        <v>13.62937826950801</v>
      </c>
      <c r="M200" s="37"/>
      <c r="N200" s="37"/>
      <c r="O200" s="37"/>
      <c r="P200" s="37"/>
      <c r="Q200" s="37"/>
      <c r="R200" s="41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 ht="15">
      <c r="A201" s="20" t="s">
        <v>10</v>
      </c>
      <c r="B201" s="32" t="s">
        <v>49</v>
      </c>
      <c r="C201" s="33">
        <v>44241.595833333333</v>
      </c>
      <c r="D201" s="19" t="s">
        <v>542</v>
      </c>
      <c r="E201" s="19" t="s">
        <v>13</v>
      </c>
      <c r="F201" s="19" t="s">
        <v>14</v>
      </c>
      <c r="G201" s="19">
        <v>3.7</v>
      </c>
      <c r="H201" s="34">
        <v>39</v>
      </c>
      <c r="I201" s="19" t="s">
        <v>543</v>
      </c>
      <c r="J201" s="19" t="s">
        <v>544</v>
      </c>
      <c r="K201" s="34"/>
      <c r="L201" s="36">
        <f t="shared" si="2"/>
        <v>2.0789049207368082</v>
      </c>
      <c r="M201" s="37"/>
      <c r="N201" s="37"/>
      <c r="O201" s="37"/>
      <c r="P201" s="37"/>
      <c r="Q201" s="37"/>
      <c r="R201" s="41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 ht="15">
      <c r="A202" s="20" t="s">
        <v>10</v>
      </c>
      <c r="B202" s="32" t="s">
        <v>155</v>
      </c>
      <c r="C202" s="33">
        <v>44241.593055555553</v>
      </c>
      <c r="D202" s="19" t="s">
        <v>545</v>
      </c>
      <c r="E202" s="19" t="s">
        <v>13</v>
      </c>
      <c r="F202" s="19" t="s">
        <v>14</v>
      </c>
      <c r="G202" s="19">
        <v>0.1</v>
      </c>
      <c r="H202" s="34">
        <v>179</v>
      </c>
      <c r="I202" s="19" t="s">
        <v>546</v>
      </c>
      <c r="J202" s="19" t="s">
        <v>547</v>
      </c>
      <c r="K202" s="34"/>
      <c r="L202" s="36">
        <f t="shared" si="2"/>
        <v>0.12374646400677479</v>
      </c>
      <c r="M202" s="37"/>
      <c r="N202" s="37"/>
      <c r="O202" s="37"/>
      <c r="P202" s="37"/>
      <c r="Q202" s="37"/>
      <c r="R202" s="41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 ht="15">
      <c r="A203" s="20" t="s">
        <v>10</v>
      </c>
      <c r="B203" s="32" t="s">
        <v>159</v>
      </c>
      <c r="C203" s="33">
        <v>44241.548611111109</v>
      </c>
      <c r="D203" s="19" t="s">
        <v>548</v>
      </c>
      <c r="E203" s="19" t="s">
        <v>13</v>
      </c>
      <c r="F203" s="19" t="s">
        <v>14</v>
      </c>
      <c r="G203" s="19">
        <v>0</v>
      </c>
      <c r="H203" s="34">
        <v>86</v>
      </c>
      <c r="I203" s="19" t="s">
        <v>549</v>
      </c>
      <c r="J203" s="19" t="s">
        <v>550</v>
      </c>
      <c r="K203" s="34"/>
      <c r="L203" s="36">
        <f t="shared" si="2"/>
        <v>1.4569524203278631E-3</v>
      </c>
      <c r="M203" s="37"/>
      <c r="N203" s="37"/>
      <c r="O203" s="37"/>
      <c r="P203" s="37"/>
      <c r="Q203" s="37"/>
      <c r="R203" s="41"/>
      <c r="S203" s="67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 ht="15">
      <c r="A204" s="20" t="s">
        <v>10</v>
      </c>
      <c r="B204" s="32" t="s">
        <v>58</v>
      </c>
      <c r="C204" s="33">
        <v>44241.548611111109</v>
      </c>
      <c r="D204" s="19" t="s">
        <v>551</v>
      </c>
      <c r="E204" s="19" t="s">
        <v>13</v>
      </c>
      <c r="F204" s="19" t="s">
        <v>14</v>
      </c>
      <c r="G204" s="19">
        <v>0.1</v>
      </c>
      <c r="H204" s="34">
        <v>287</v>
      </c>
      <c r="I204" s="19" t="s">
        <v>549</v>
      </c>
      <c r="J204" s="19" t="s">
        <v>552</v>
      </c>
      <c r="K204" s="34"/>
      <c r="L204" s="36">
        <f t="shared" ref="L204:L260" si="3">ACOS((SIN(I203*PI()/180)*SIN(I204*PI()/180)+COS(I203*PI()/180)*COS(I204*PI()/180)*COS(J204*PI()/180-J203*PI()/180)))*3443.8985*1.852</f>
        <v>5.9353145714484325E-4</v>
      </c>
      <c r="M204" s="37"/>
      <c r="N204" s="68"/>
      <c r="O204" s="68"/>
      <c r="P204" s="68"/>
      <c r="Q204" s="68"/>
      <c r="R204" s="69"/>
      <c r="S204" s="70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>
      <c r="A205" s="20" t="s">
        <v>10</v>
      </c>
      <c r="B205" s="32" t="s">
        <v>33</v>
      </c>
      <c r="C205" s="33">
        <v>44241.539583333331</v>
      </c>
      <c r="D205" s="19" t="s">
        <v>373</v>
      </c>
      <c r="E205" s="19" t="s">
        <v>13</v>
      </c>
      <c r="F205" s="19" t="s">
        <v>14</v>
      </c>
      <c r="G205" s="19">
        <v>11.9</v>
      </c>
      <c r="H205" s="34">
        <v>228</v>
      </c>
      <c r="I205" s="19" t="s">
        <v>553</v>
      </c>
      <c r="J205" s="19" t="s">
        <v>554</v>
      </c>
      <c r="K205" s="34"/>
      <c r="L205" s="36">
        <f t="shared" si="3"/>
        <v>2.0929602047767526</v>
      </c>
      <c r="M205" s="37"/>
      <c r="N205" s="37"/>
      <c r="O205" s="37"/>
      <c r="P205" s="70"/>
      <c r="Q205" s="70"/>
      <c r="R205" s="71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>
      <c r="A206" s="20" t="s">
        <v>10</v>
      </c>
      <c r="B206" s="32" t="s">
        <v>33</v>
      </c>
      <c r="C206" s="33">
        <v>44241.519444444442</v>
      </c>
      <c r="D206" s="19" t="s">
        <v>555</v>
      </c>
      <c r="E206" s="19" t="s">
        <v>13</v>
      </c>
      <c r="F206" s="19" t="s">
        <v>14</v>
      </c>
      <c r="G206" s="19">
        <v>11.3</v>
      </c>
      <c r="H206" s="34">
        <v>270</v>
      </c>
      <c r="I206" s="19" t="s">
        <v>556</v>
      </c>
      <c r="J206" s="19" t="s">
        <v>557</v>
      </c>
      <c r="K206" s="34"/>
      <c r="L206" s="36">
        <f t="shared" si="3"/>
        <v>10.617592566325188</v>
      </c>
      <c r="M206" s="37"/>
      <c r="N206" s="37"/>
      <c r="O206" s="37"/>
      <c r="P206" s="37"/>
      <c r="Q206" s="37"/>
      <c r="R206" s="41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 ht="15">
      <c r="A207" s="20" t="s">
        <v>10</v>
      </c>
      <c r="B207" s="32" t="s">
        <v>33</v>
      </c>
      <c r="C207" s="33">
        <v>44241.505555555559</v>
      </c>
      <c r="D207" s="19" t="s">
        <v>558</v>
      </c>
      <c r="E207" s="19" t="s">
        <v>13</v>
      </c>
      <c r="F207" s="19" t="s">
        <v>14</v>
      </c>
      <c r="G207" s="19">
        <v>11.8</v>
      </c>
      <c r="H207" s="34">
        <v>231</v>
      </c>
      <c r="I207" s="19" t="s">
        <v>559</v>
      </c>
      <c r="J207" s="19" t="s">
        <v>560</v>
      </c>
      <c r="K207" s="34"/>
      <c r="L207" s="36">
        <f t="shared" si="3"/>
        <v>7.1853904090460041</v>
      </c>
      <c r="M207" s="37"/>
      <c r="N207" s="37"/>
      <c r="O207" s="37"/>
      <c r="P207" s="37"/>
      <c r="Q207" s="37"/>
      <c r="R207" s="41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 ht="15">
      <c r="A208" s="20" t="s">
        <v>10</v>
      </c>
      <c r="B208" s="32" t="s">
        <v>33</v>
      </c>
      <c r="C208" s="33">
        <v>44241.488888888889</v>
      </c>
      <c r="D208" s="19" t="s">
        <v>561</v>
      </c>
      <c r="E208" s="19" t="s">
        <v>13</v>
      </c>
      <c r="F208" s="19" t="s">
        <v>14</v>
      </c>
      <c r="G208" s="19">
        <v>12</v>
      </c>
      <c r="H208" s="34">
        <v>195</v>
      </c>
      <c r="I208" s="19" t="s">
        <v>562</v>
      </c>
      <c r="J208" s="19" t="s">
        <v>563</v>
      </c>
      <c r="K208" s="34"/>
      <c r="L208" s="36">
        <f t="shared" si="3"/>
        <v>8.3079584863552522</v>
      </c>
      <c r="M208" s="37"/>
      <c r="N208" s="37"/>
      <c r="O208" s="37"/>
      <c r="P208" s="37"/>
      <c r="Q208" s="37"/>
      <c r="R208" s="41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 ht="15">
      <c r="A209" s="20" t="s">
        <v>10</v>
      </c>
      <c r="B209" s="32" t="s">
        <v>33</v>
      </c>
      <c r="C209" s="33">
        <v>44241.481944444444</v>
      </c>
      <c r="D209" s="19" t="s">
        <v>564</v>
      </c>
      <c r="E209" s="19" t="s">
        <v>13</v>
      </c>
      <c r="F209" s="19" t="s">
        <v>14</v>
      </c>
      <c r="G209" s="19">
        <v>11.8</v>
      </c>
      <c r="H209" s="34">
        <v>144</v>
      </c>
      <c r="I209" s="19" t="s">
        <v>565</v>
      </c>
      <c r="J209" s="19" t="s">
        <v>566</v>
      </c>
      <c r="K209" s="34"/>
      <c r="L209" s="36">
        <f t="shared" si="3"/>
        <v>3.6171776495907797</v>
      </c>
      <c r="M209" s="37"/>
      <c r="N209" s="37"/>
      <c r="O209" s="37"/>
      <c r="P209" s="37"/>
      <c r="Q209" s="37"/>
      <c r="R209" s="41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 ht="15">
      <c r="A210" s="20" t="s">
        <v>10</v>
      </c>
      <c r="B210" s="32" t="s">
        <v>33</v>
      </c>
      <c r="C210" s="33">
        <v>44241.46875</v>
      </c>
      <c r="D210" s="19" t="s">
        <v>567</v>
      </c>
      <c r="E210" s="19" t="s">
        <v>13</v>
      </c>
      <c r="F210" s="19" t="s">
        <v>14</v>
      </c>
      <c r="G210" s="19">
        <v>11.6</v>
      </c>
      <c r="H210" s="34">
        <v>101</v>
      </c>
      <c r="I210" s="19" t="s">
        <v>568</v>
      </c>
      <c r="J210" s="19" t="s">
        <v>569</v>
      </c>
      <c r="K210" s="34"/>
      <c r="L210" s="36">
        <f t="shared" si="3"/>
        <v>7.0425321457978427</v>
      </c>
      <c r="M210" s="37"/>
      <c r="N210" s="37"/>
      <c r="O210" s="37"/>
      <c r="P210" s="37"/>
      <c r="Q210" s="37"/>
      <c r="R210" s="41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 ht="15">
      <c r="A211" s="20" t="s">
        <v>10</v>
      </c>
      <c r="B211" s="32" t="s">
        <v>11</v>
      </c>
      <c r="C211" s="33">
        <v>44241.467361111114</v>
      </c>
      <c r="D211" s="19" t="s">
        <v>570</v>
      </c>
      <c r="E211" s="19" t="s">
        <v>13</v>
      </c>
      <c r="F211" s="19" t="s">
        <v>14</v>
      </c>
      <c r="G211" s="19">
        <v>12.1</v>
      </c>
      <c r="H211" s="34">
        <v>101</v>
      </c>
      <c r="I211" s="19" t="s">
        <v>571</v>
      </c>
      <c r="J211" s="19" t="s">
        <v>572</v>
      </c>
      <c r="K211" s="34"/>
      <c r="L211" s="36">
        <f t="shared" si="3"/>
        <v>0.85151606279054037</v>
      </c>
      <c r="M211" s="37"/>
      <c r="N211" s="37"/>
      <c r="O211" s="37"/>
      <c r="P211" s="37"/>
      <c r="Q211" s="37"/>
      <c r="R211" s="41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 ht="15">
      <c r="A212" s="20" t="s">
        <v>10</v>
      </c>
      <c r="B212" s="32" t="s">
        <v>33</v>
      </c>
      <c r="C212" s="33">
        <v>44241.461111111108</v>
      </c>
      <c r="D212" s="19" t="s">
        <v>573</v>
      </c>
      <c r="E212" s="19" t="s">
        <v>13</v>
      </c>
      <c r="F212" s="19" t="s">
        <v>14</v>
      </c>
      <c r="G212" s="19">
        <v>11.5</v>
      </c>
      <c r="H212" s="34">
        <v>36</v>
      </c>
      <c r="I212" s="19" t="s">
        <v>574</v>
      </c>
      <c r="J212" s="19" t="s">
        <v>575</v>
      </c>
      <c r="K212" s="34"/>
      <c r="L212" s="36">
        <f t="shared" si="3"/>
        <v>2.9199789341454001</v>
      </c>
      <c r="M212" s="37"/>
      <c r="N212" s="37"/>
      <c r="O212" s="37"/>
      <c r="P212" s="37"/>
      <c r="Q212" s="37"/>
      <c r="R212" s="41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 ht="15.75" thickBot="1">
      <c r="A213" s="20" t="s">
        <v>10</v>
      </c>
      <c r="B213" s="42" t="s">
        <v>49</v>
      </c>
      <c r="C213" s="43">
        <v>44241.453472222223</v>
      </c>
      <c r="D213" s="47" t="s">
        <v>576</v>
      </c>
      <c r="E213" s="47" t="s">
        <v>13</v>
      </c>
      <c r="F213" s="47" t="s">
        <v>14</v>
      </c>
      <c r="G213" s="47">
        <v>3.6</v>
      </c>
      <c r="H213" s="48">
        <v>136</v>
      </c>
      <c r="I213" s="47" t="s">
        <v>577</v>
      </c>
      <c r="J213" s="47" t="s">
        <v>578</v>
      </c>
      <c r="K213" s="48"/>
      <c r="L213" s="49">
        <f t="shared" si="3"/>
        <v>1.3784775346895981</v>
      </c>
      <c r="M213" s="50"/>
      <c r="N213" s="50"/>
      <c r="O213" s="50"/>
      <c r="P213" s="50"/>
      <c r="Q213" s="50"/>
      <c r="R213" s="51"/>
      <c r="S213" s="44" t="s">
        <v>1510</v>
      </c>
      <c r="T213" s="6"/>
      <c r="U213" s="6"/>
      <c r="V213" s="6"/>
      <c r="W213" s="6"/>
      <c r="X213" s="6"/>
      <c r="Y213" s="6"/>
      <c r="Z213" s="6"/>
      <c r="AA213" s="6"/>
      <c r="AB213" s="6"/>
    </row>
    <row r="214" spans="1:28" ht="15">
      <c r="A214" s="20" t="s">
        <v>10</v>
      </c>
      <c r="B214" s="24" t="s">
        <v>58</v>
      </c>
      <c r="C214" s="25">
        <v>44241.407638888886</v>
      </c>
      <c r="D214" s="26" t="s">
        <v>579</v>
      </c>
      <c r="E214" s="26" t="s">
        <v>13</v>
      </c>
      <c r="F214" s="26" t="s">
        <v>14</v>
      </c>
      <c r="G214" s="26" t="s">
        <v>381</v>
      </c>
      <c r="H214" s="27">
        <v>281</v>
      </c>
      <c r="I214" s="26" t="s">
        <v>580</v>
      </c>
      <c r="J214" s="26" t="s">
        <v>581</v>
      </c>
      <c r="K214" s="27"/>
      <c r="L214" s="28">
        <f t="shared" si="3"/>
        <v>0.12134704881832568</v>
      </c>
      <c r="M214" s="29"/>
      <c r="N214" s="30" t="s">
        <v>271</v>
      </c>
      <c r="O214" s="30" t="s">
        <v>23</v>
      </c>
      <c r="P214" s="30" t="s">
        <v>1498</v>
      </c>
      <c r="Q214" s="30" t="s">
        <v>1495</v>
      </c>
      <c r="R214" s="31" t="s">
        <v>1499</v>
      </c>
      <c r="S214" s="45">
        <f>(C213 - C214)*24</f>
        <v>1.1000000000931323</v>
      </c>
      <c r="T214" s="6"/>
      <c r="U214" s="6"/>
      <c r="V214" s="6"/>
      <c r="W214" s="6"/>
      <c r="X214" s="6"/>
      <c r="Y214" s="6"/>
      <c r="Z214" s="6"/>
      <c r="AA214" s="6"/>
      <c r="AB214" s="6"/>
    </row>
    <row r="215" spans="1:28" ht="15">
      <c r="A215" s="20" t="s">
        <v>10</v>
      </c>
      <c r="B215" s="32" t="s">
        <v>33</v>
      </c>
      <c r="C215" s="33">
        <v>44241.28402777778</v>
      </c>
      <c r="D215" s="19" t="s">
        <v>582</v>
      </c>
      <c r="E215" s="19" t="s">
        <v>13</v>
      </c>
      <c r="F215" s="19" t="s">
        <v>14</v>
      </c>
      <c r="G215" s="19">
        <v>12</v>
      </c>
      <c r="H215" s="34">
        <v>233</v>
      </c>
      <c r="I215" s="19" t="s">
        <v>583</v>
      </c>
      <c r="J215" s="19" t="s">
        <v>584</v>
      </c>
      <c r="K215" s="34"/>
      <c r="L215" s="36">
        <f t="shared" si="3"/>
        <v>58.861347770033809</v>
      </c>
      <c r="M215" s="37"/>
      <c r="N215" s="38" t="s">
        <v>1534</v>
      </c>
      <c r="O215" s="38" t="s">
        <v>1533</v>
      </c>
      <c r="P215" s="39">
        <f>SUM(L214:L216)</f>
        <v>62.547434137104219</v>
      </c>
      <c r="Q215" s="39">
        <f>AVERAGE(G215:G222)</f>
        <v>7.8999999999999995</v>
      </c>
      <c r="R215" s="46">
        <f>(C214 - C216)*24</f>
        <v>3.1333333332440816</v>
      </c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1:28" ht="15.75" thickBot="1">
      <c r="A216" s="20" t="s">
        <v>10</v>
      </c>
      <c r="B216" s="42" t="s">
        <v>49</v>
      </c>
      <c r="C216" s="43">
        <v>44241.277083333334</v>
      </c>
      <c r="D216" s="47" t="s">
        <v>585</v>
      </c>
      <c r="E216" s="47" t="s">
        <v>13</v>
      </c>
      <c r="F216" s="47" t="s">
        <v>14</v>
      </c>
      <c r="G216" s="47" t="s">
        <v>586</v>
      </c>
      <c r="H216" s="48">
        <v>198</v>
      </c>
      <c r="I216" s="47" t="s">
        <v>587</v>
      </c>
      <c r="J216" s="47" t="s">
        <v>588</v>
      </c>
      <c r="K216" s="48"/>
      <c r="L216" s="49">
        <f t="shared" si="3"/>
        <v>3.564739318252077</v>
      </c>
      <c r="M216" s="50"/>
      <c r="N216" s="50"/>
      <c r="O216" s="50"/>
      <c r="P216" s="50"/>
      <c r="Q216" s="50"/>
      <c r="R216" s="51"/>
      <c r="S216" s="44" t="s">
        <v>1510</v>
      </c>
      <c r="T216" s="6"/>
      <c r="U216" s="6"/>
      <c r="V216" s="6"/>
      <c r="W216" s="6"/>
      <c r="X216" s="6"/>
      <c r="Y216" s="6"/>
      <c r="Z216" s="6"/>
      <c r="AA216" s="6"/>
      <c r="AB216" s="6"/>
    </row>
    <row r="217" spans="1:28" ht="15">
      <c r="A217" s="20" t="s">
        <v>10</v>
      </c>
      <c r="B217" s="24" t="s">
        <v>58</v>
      </c>
      <c r="C217" s="25">
        <v>44241.25277777778</v>
      </c>
      <c r="D217" s="26" t="s">
        <v>589</v>
      </c>
      <c r="E217" s="26" t="s">
        <v>13</v>
      </c>
      <c r="F217" s="26" t="s">
        <v>14</v>
      </c>
      <c r="G217" s="26" t="s">
        <v>96</v>
      </c>
      <c r="H217" s="27">
        <v>67</v>
      </c>
      <c r="I217" s="26" t="s">
        <v>590</v>
      </c>
      <c r="J217" s="26" t="s">
        <v>591</v>
      </c>
      <c r="K217" s="27"/>
      <c r="L217" s="28">
        <f t="shared" si="3"/>
        <v>0.47918992332410221</v>
      </c>
      <c r="M217" s="29"/>
      <c r="N217" s="30" t="s">
        <v>271</v>
      </c>
      <c r="O217" s="30" t="s">
        <v>23</v>
      </c>
      <c r="P217" s="30" t="s">
        <v>1498</v>
      </c>
      <c r="Q217" s="30" t="s">
        <v>1495</v>
      </c>
      <c r="R217" s="31" t="s">
        <v>1499</v>
      </c>
      <c r="S217" s="45">
        <f>(C216 - C217)*24</f>
        <v>0.58333333331393078</v>
      </c>
      <c r="T217" s="6"/>
      <c r="U217" s="6"/>
      <c r="V217" s="6"/>
      <c r="W217" s="6"/>
      <c r="X217" s="6"/>
      <c r="Y217" s="6"/>
      <c r="Z217" s="6"/>
      <c r="AA217" s="6"/>
      <c r="AB217" s="6"/>
    </row>
    <row r="218" spans="1:28" ht="15">
      <c r="A218" s="20" t="s">
        <v>10</v>
      </c>
      <c r="B218" s="32" t="s">
        <v>33</v>
      </c>
      <c r="C218" s="33">
        <v>44241.24722222222</v>
      </c>
      <c r="D218" s="19" t="s">
        <v>592</v>
      </c>
      <c r="E218" s="19" t="s">
        <v>13</v>
      </c>
      <c r="F218" s="19" t="s">
        <v>14</v>
      </c>
      <c r="G218" s="19">
        <v>7.9</v>
      </c>
      <c r="H218" s="34">
        <v>280</v>
      </c>
      <c r="I218" s="19" t="s">
        <v>593</v>
      </c>
      <c r="J218" s="19" t="s">
        <v>594</v>
      </c>
      <c r="K218" s="34"/>
      <c r="L218" s="36">
        <f t="shared" si="3"/>
        <v>0.76304256243525015</v>
      </c>
      <c r="M218" s="37"/>
      <c r="N218" s="38" t="s">
        <v>1535</v>
      </c>
      <c r="O218" s="38" t="s">
        <v>1534</v>
      </c>
      <c r="P218" s="39">
        <f>SUM(L217:L219)</f>
        <v>6.734778511455823</v>
      </c>
      <c r="Q218" s="39">
        <f>AVERAGE(G218:G225)</f>
        <v>6.7</v>
      </c>
      <c r="R218" s="46">
        <f>(C217 - C219)*24</f>
        <v>0.40000000008149073</v>
      </c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 ht="15.75" thickBot="1">
      <c r="A219" s="20" t="s">
        <v>10</v>
      </c>
      <c r="B219" s="42" t="s">
        <v>49</v>
      </c>
      <c r="C219" s="43">
        <v>44241.236111111109</v>
      </c>
      <c r="D219" s="47" t="s">
        <v>595</v>
      </c>
      <c r="E219" s="47" t="s">
        <v>13</v>
      </c>
      <c r="F219" s="47" t="s">
        <v>14</v>
      </c>
      <c r="G219" s="47" t="s">
        <v>596</v>
      </c>
      <c r="H219" s="48">
        <v>236</v>
      </c>
      <c r="I219" s="47" t="s">
        <v>597</v>
      </c>
      <c r="J219" s="47" t="s">
        <v>598</v>
      </c>
      <c r="K219" s="48"/>
      <c r="L219" s="49">
        <f t="shared" si="3"/>
        <v>5.4925460256964707</v>
      </c>
      <c r="M219" s="50"/>
      <c r="N219" s="50"/>
      <c r="O219" s="50"/>
      <c r="P219" s="50"/>
      <c r="Q219" s="50"/>
      <c r="R219" s="51"/>
      <c r="S219" s="44" t="s">
        <v>1510</v>
      </c>
      <c r="T219" s="6"/>
      <c r="U219" s="6"/>
      <c r="V219" s="6"/>
      <c r="W219" s="6"/>
      <c r="X219" s="6"/>
      <c r="Y219" s="6"/>
      <c r="Z219" s="6"/>
      <c r="AA219" s="6"/>
      <c r="AB219" s="6"/>
    </row>
    <row r="220" spans="1:28" ht="15">
      <c r="A220" s="20" t="s">
        <v>10</v>
      </c>
      <c r="B220" s="24" t="s">
        <v>58</v>
      </c>
      <c r="C220" s="25">
        <v>44241.192361111112</v>
      </c>
      <c r="D220" s="26" t="s">
        <v>599</v>
      </c>
      <c r="E220" s="26" t="s">
        <v>13</v>
      </c>
      <c r="F220" s="26" t="s">
        <v>14</v>
      </c>
      <c r="G220" s="26" t="s">
        <v>600</v>
      </c>
      <c r="H220" s="27">
        <v>234</v>
      </c>
      <c r="I220" s="26" t="s">
        <v>601</v>
      </c>
      <c r="J220" s="26" t="s">
        <v>602</v>
      </c>
      <c r="K220" s="27"/>
      <c r="L220" s="28">
        <f t="shared" si="3"/>
        <v>4.4635580739407175</v>
      </c>
      <c r="M220" s="29"/>
      <c r="N220" s="30" t="s">
        <v>271</v>
      </c>
      <c r="O220" s="30" t="s">
        <v>23</v>
      </c>
      <c r="P220" s="30" t="s">
        <v>1498</v>
      </c>
      <c r="Q220" s="30" t="s">
        <v>1495</v>
      </c>
      <c r="R220" s="31" t="s">
        <v>1499</v>
      </c>
      <c r="S220" s="45">
        <f>(C219 - C220)*24</f>
        <v>1.0499999999301508</v>
      </c>
      <c r="T220" s="6"/>
      <c r="U220" s="6"/>
      <c r="V220" s="6"/>
      <c r="W220" s="6"/>
      <c r="X220" s="6"/>
      <c r="Y220" s="6"/>
      <c r="Z220" s="6"/>
      <c r="AA220" s="6"/>
      <c r="AB220" s="6"/>
    </row>
    <row r="221" spans="1:28" ht="15">
      <c r="A221" s="20" t="s">
        <v>10</v>
      </c>
      <c r="B221" s="32" t="s">
        <v>33</v>
      </c>
      <c r="C221" s="33">
        <v>44241.105555555558</v>
      </c>
      <c r="D221" s="19" t="s">
        <v>603</v>
      </c>
      <c r="E221" s="19" t="s">
        <v>13</v>
      </c>
      <c r="F221" s="19" t="s">
        <v>14</v>
      </c>
      <c r="G221" s="19">
        <v>3.8</v>
      </c>
      <c r="H221" s="34">
        <v>71</v>
      </c>
      <c r="I221" s="19" t="s">
        <v>604</v>
      </c>
      <c r="J221" s="19" t="s">
        <v>605</v>
      </c>
      <c r="K221" s="34"/>
      <c r="L221" s="36">
        <f t="shared" si="3"/>
        <v>9.3942183913440065</v>
      </c>
      <c r="M221" s="37"/>
      <c r="N221" s="38" t="s">
        <v>1534</v>
      </c>
      <c r="O221" s="38" t="s">
        <v>1535</v>
      </c>
      <c r="P221" s="39">
        <f>SUM(L220:L222)</f>
        <v>14.923076070994355</v>
      </c>
      <c r="Q221" s="39">
        <f>AVERAGE(G221:G228)</f>
        <v>4.4285714285714288</v>
      </c>
      <c r="R221" s="46">
        <f>(C220 - C222)*24</f>
        <v>2.25</v>
      </c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1:28" ht="15.75" thickBot="1">
      <c r="A222" s="20" t="s">
        <v>10</v>
      </c>
      <c r="B222" s="42" t="s">
        <v>49</v>
      </c>
      <c r="C222" s="43">
        <v>44241.098611111112</v>
      </c>
      <c r="D222" s="47" t="s">
        <v>606</v>
      </c>
      <c r="E222" s="47" t="s">
        <v>13</v>
      </c>
      <c r="F222" s="47" t="s">
        <v>14</v>
      </c>
      <c r="G222" s="47" t="s">
        <v>261</v>
      </c>
      <c r="H222" s="48">
        <v>146</v>
      </c>
      <c r="I222" s="47" t="s">
        <v>607</v>
      </c>
      <c r="J222" s="47" t="s">
        <v>608</v>
      </c>
      <c r="K222" s="48"/>
      <c r="L222" s="49">
        <f t="shared" si="3"/>
        <v>1.0652996057096311</v>
      </c>
      <c r="M222" s="50"/>
      <c r="N222" s="50"/>
      <c r="O222" s="50"/>
      <c r="P222" s="50"/>
      <c r="Q222" s="50"/>
      <c r="R222" s="51"/>
      <c r="S222" s="44" t="s">
        <v>1510</v>
      </c>
      <c r="T222" s="6"/>
      <c r="U222" s="6"/>
      <c r="V222" s="6"/>
      <c r="W222" s="6"/>
      <c r="X222" s="6"/>
      <c r="Y222" s="6"/>
      <c r="Z222" s="6"/>
      <c r="AA222" s="6"/>
      <c r="AB222" s="6"/>
    </row>
    <row r="223" spans="1:28" ht="15">
      <c r="A223" s="20" t="s">
        <v>10</v>
      </c>
      <c r="B223" s="24" t="s">
        <v>58</v>
      </c>
      <c r="C223" s="25">
        <v>44241.068055555559</v>
      </c>
      <c r="D223" s="26" t="s">
        <v>609</v>
      </c>
      <c r="E223" s="26" t="s">
        <v>13</v>
      </c>
      <c r="F223" s="26" t="s">
        <v>14</v>
      </c>
      <c r="G223" s="26">
        <v>0.3</v>
      </c>
      <c r="H223" s="27">
        <v>96</v>
      </c>
      <c r="I223" s="26" t="s">
        <v>610</v>
      </c>
      <c r="J223" s="26" t="s">
        <v>611</v>
      </c>
      <c r="K223" s="27"/>
      <c r="L223" s="28">
        <f t="shared" si="3"/>
        <v>0.26271336168030929</v>
      </c>
      <c r="M223" s="29"/>
      <c r="N223" s="30" t="s">
        <v>271</v>
      </c>
      <c r="O223" s="30" t="s">
        <v>23</v>
      </c>
      <c r="P223" s="30" t="s">
        <v>1498</v>
      </c>
      <c r="Q223" s="30" t="s">
        <v>1495</v>
      </c>
      <c r="R223" s="31" t="s">
        <v>1499</v>
      </c>
      <c r="S223" s="45">
        <f>(C222 - C223)*24</f>
        <v>0.73333333327900618</v>
      </c>
      <c r="T223" s="6"/>
      <c r="U223" s="6"/>
      <c r="V223" s="6"/>
      <c r="W223" s="6"/>
      <c r="X223" s="6"/>
      <c r="Y223" s="6"/>
      <c r="Z223" s="6"/>
      <c r="AA223" s="6"/>
      <c r="AB223" s="6"/>
    </row>
    <row r="224" spans="1:28" ht="15">
      <c r="A224" s="20" t="s">
        <v>10</v>
      </c>
      <c r="B224" s="32" t="s">
        <v>33</v>
      </c>
      <c r="C224" s="33">
        <v>44241.018750000003</v>
      </c>
      <c r="D224" s="19" t="s">
        <v>180</v>
      </c>
      <c r="E224" s="19" t="s">
        <v>13</v>
      </c>
      <c r="F224" s="19" t="s">
        <v>14</v>
      </c>
      <c r="G224" s="19">
        <v>11</v>
      </c>
      <c r="H224" s="34">
        <v>24</v>
      </c>
      <c r="I224" s="19" t="s">
        <v>612</v>
      </c>
      <c r="J224" s="19" t="s">
        <v>613</v>
      </c>
      <c r="K224" s="34"/>
      <c r="L224" s="36">
        <f t="shared" si="3"/>
        <v>19.818298907065198</v>
      </c>
      <c r="M224" s="37"/>
      <c r="N224" s="38" t="s">
        <v>1536</v>
      </c>
      <c r="O224" s="38" t="s">
        <v>1534</v>
      </c>
      <c r="P224" s="39">
        <f>SUM(L223:L227)</f>
        <v>28.101510391682776</v>
      </c>
      <c r="Q224" s="39">
        <f>AVERAGE(G224:G225)</f>
        <v>10.75</v>
      </c>
      <c r="R224" s="46">
        <f>(C223 - C227)*24</f>
        <v>2.433333333407063</v>
      </c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1:28" ht="15">
      <c r="A225" s="20" t="s">
        <v>10</v>
      </c>
      <c r="B225" s="32" t="s">
        <v>33</v>
      </c>
      <c r="C225" s="33">
        <v>44241.009027777778</v>
      </c>
      <c r="D225" s="19" t="s">
        <v>614</v>
      </c>
      <c r="E225" s="19" t="s">
        <v>13</v>
      </c>
      <c r="F225" s="19" t="s">
        <v>14</v>
      </c>
      <c r="G225" s="19">
        <v>10.5</v>
      </c>
      <c r="H225" s="34">
        <v>352</v>
      </c>
      <c r="I225" s="19" t="s">
        <v>615</v>
      </c>
      <c r="J225" s="19" t="s">
        <v>616</v>
      </c>
      <c r="K225" s="34"/>
      <c r="L225" s="36">
        <f t="shared" si="3"/>
        <v>4.7272419641289929</v>
      </c>
      <c r="M225" s="37"/>
      <c r="N225" s="37"/>
      <c r="O225" s="37"/>
      <c r="P225" s="37"/>
      <c r="Q225" s="37"/>
      <c r="R225" s="41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 ht="15">
      <c r="A226" s="20" t="s">
        <v>10</v>
      </c>
      <c r="B226" s="32" t="s">
        <v>49</v>
      </c>
      <c r="C226" s="33">
        <v>44241.001388888886</v>
      </c>
      <c r="D226" s="19" t="s">
        <v>617</v>
      </c>
      <c r="E226" s="19" t="s">
        <v>13</v>
      </c>
      <c r="F226" s="19" t="s">
        <v>14</v>
      </c>
      <c r="G226" s="19">
        <v>5.2</v>
      </c>
      <c r="H226" s="34">
        <v>70</v>
      </c>
      <c r="I226" s="19" t="s">
        <v>618</v>
      </c>
      <c r="J226" s="19" t="s">
        <v>619</v>
      </c>
      <c r="K226" s="34"/>
      <c r="L226" s="36">
        <f t="shared" si="3"/>
        <v>3.1710682704541213</v>
      </c>
      <c r="M226" s="37"/>
      <c r="N226" s="37"/>
      <c r="O226" s="37"/>
      <c r="P226" s="37"/>
      <c r="Q226" s="37"/>
      <c r="R226" s="41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 ht="15.75" thickBot="1">
      <c r="A227" s="20" t="s">
        <v>10</v>
      </c>
      <c r="B227" s="42" t="s">
        <v>28</v>
      </c>
      <c r="C227" s="43">
        <v>44240.966666666667</v>
      </c>
      <c r="D227" s="47" t="s">
        <v>620</v>
      </c>
      <c r="E227" s="47" t="s">
        <v>13</v>
      </c>
      <c r="F227" s="47" t="s">
        <v>14</v>
      </c>
      <c r="G227" s="47">
        <v>0.1</v>
      </c>
      <c r="H227" s="48">
        <v>170</v>
      </c>
      <c r="I227" s="47" t="s">
        <v>621</v>
      </c>
      <c r="J227" s="47" t="s">
        <v>622</v>
      </c>
      <c r="K227" s="48"/>
      <c r="L227" s="49">
        <f t="shared" si="3"/>
        <v>0.12218788835415456</v>
      </c>
      <c r="M227" s="50"/>
      <c r="N227" s="50"/>
      <c r="O227" s="50"/>
      <c r="P227" s="50"/>
      <c r="Q227" s="50"/>
      <c r="R227" s="51"/>
      <c r="S227" s="44" t="s">
        <v>1510</v>
      </c>
      <c r="T227" s="6"/>
      <c r="U227" s="392" t="s">
        <v>1542</v>
      </c>
      <c r="V227" s="392"/>
      <c r="W227" s="392"/>
      <c r="X227" s="6"/>
      <c r="Y227" s="6"/>
      <c r="Z227" s="6"/>
      <c r="AA227" s="6"/>
      <c r="AB227" s="6"/>
    </row>
    <row r="228" spans="1:28" ht="15">
      <c r="A228" s="20" t="s">
        <v>10</v>
      </c>
      <c r="B228" s="24" t="s">
        <v>58</v>
      </c>
      <c r="C228" s="25">
        <v>44240.918055555558</v>
      </c>
      <c r="D228" s="26" t="s">
        <v>623</v>
      </c>
      <c r="E228" s="26" t="s">
        <v>13</v>
      </c>
      <c r="F228" s="26" t="s">
        <v>14</v>
      </c>
      <c r="G228" s="26">
        <v>0.1</v>
      </c>
      <c r="H228" s="27">
        <v>5</v>
      </c>
      <c r="I228" s="26" t="s">
        <v>624</v>
      </c>
      <c r="J228" s="26" t="s">
        <v>625</v>
      </c>
      <c r="K228" s="27"/>
      <c r="L228" s="28">
        <f t="shared" si="3"/>
        <v>3.8465234731167972E-3</v>
      </c>
      <c r="M228" s="29"/>
      <c r="N228" s="30" t="s">
        <v>271</v>
      </c>
      <c r="O228" s="30" t="s">
        <v>23</v>
      </c>
      <c r="P228" s="30" t="s">
        <v>1498</v>
      </c>
      <c r="Q228" s="30" t="s">
        <v>1495</v>
      </c>
      <c r="R228" s="31" t="s">
        <v>1499</v>
      </c>
      <c r="S228" s="45">
        <f>(C227 - C228)*24</f>
        <v>1.1666666666278616</v>
      </c>
      <c r="T228" s="6"/>
      <c r="U228" s="52" t="s">
        <v>1498</v>
      </c>
      <c r="V228" s="52" t="s">
        <v>1512</v>
      </c>
      <c r="W228" s="52" t="s">
        <v>1513</v>
      </c>
      <c r="X228" s="6"/>
      <c r="Y228" s="6"/>
      <c r="Z228" s="6"/>
      <c r="AA228" s="6"/>
      <c r="AB228" s="6"/>
    </row>
    <row r="229" spans="1:28" ht="15">
      <c r="A229" s="20" t="s">
        <v>10</v>
      </c>
      <c r="B229" s="32" t="s">
        <v>33</v>
      </c>
      <c r="C229" s="33">
        <v>44240.902083333334</v>
      </c>
      <c r="D229" s="19" t="s">
        <v>626</v>
      </c>
      <c r="E229" s="19" t="s">
        <v>13</v>
      </c>
      <c r="F229" s="19" t="s">
        <v>14</v>
      </c>
      <c r="G229" s="19">
        <v>11.9</v>
      </c>
      <c r="H229" s="34">
        <v>11</v>
      </c>
      <c r="I229" s="19" t="s">
        <v>627</v>
      </c>
      <c r="J229" s="19" t="s">
        <v>628</v>
      </c>
      <c r="K229" s="34"/>
      <c r="L229" s="36">
        <f t="shared" si="3"/>
        <v>2.6659253194005639</v>
      </c>
      <c r="M229" s="37"/>
      <c r="N229" s="38" t="s">
        <v>1537</v>
      </c>
      <c r="O229" s="38" t="s">
        <v>1536</v>
      </c>
      <c r="P229" s="39">
        <f>SUM(L228:L233)</f>
        <v>41.752750521086476</v>
      </c>
      <c r="Q229" s="39">
        <f>AVERAGE(G229:G232)</f>
        <v>11.925000000000001</v>
      </c>
      <c r="R229" s="46">
        <f>(C228 - C233)*24</f>
        <v>2.1833333334652707</v>
      </c>
      <c r="S229" s="6"/>
      <c r="T229" s="6"/>
      <c r="U229" s="53">
        <f>SUM(P189,P205,P215,P218,P221,P224,P229,P235,P238,P243,P248)</f>
        <v>886.44947456069167</v>
      </c>
      <c r="V229" s="53">
        <f>SUM(R205,R215,R218,R221,R224,R229,R235,R238,R243,R248)</f>
        <v>28.616666666872334</v>
      </c>
      <c r="W229" s="53">
        <f>SUM(S214,S217,S220,S223,S228,S234,S237,S242,S247)</f>
        <v>8.4499999997788109</v>
      </c>
      <c r="X229" s="6"/>
      <c r="Y229" s="6"/>
      <c r="Z229" s="6"/>
      <c r="AA229" s="6"/>
      <c r="AB229" s="6"/>
    </row>
    <row r="230" spans="1:28" ht="15">
      <c r="A230" s="20" t="s">
        <v>10</v>
      </c>
      <c r="B230" s="32" t="s">
        <v>33</v>
      </c>
      <c r="C230" s="33">
        <v>44240.861805555556</v>
      </c>
      <c r="D230" s="19" t="s">
        <v>629</v>
      </c>
      <c r="E230" s="19" t="s">
        <v>13</v>
      </c>
      <c r="F230" s="19" t="s">
        <v>14</v>
      </c>
      <c r="G230" s="19">
        <v>12.4</v>
      </c>
      <c r="H230" s="34">
        <v>51</v>
      </c>
      <c r="I230" s="19" t="s">
        <v>630</v>
      </c>
      <c r="J230" s="19" t="s">
        <v>631</v>
      </c>
      <c r="K230" s="34"/>
      <c r="L230" s="36">
        <f t="shared" si="3"/>
        <v>21.418955430486935</v>
      </c>
      <c r="M230" s="37"/>
      <c r="N230" s="37"/>
      <c r="O230" s="37"/>
      <c r="P230" s="37"/>
      <c r="Q230" s="37"/>
      <c r="R230" s="41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 ht="15">
      <c r="A231" s="20" t="s">
        <v>10</v>
      </c>
      <c r="B231" s="32" t="s">
        <v>33</v>
      </c>
      <c r="C231" s="33">
        <v>44240.843055555553</v>
      </c>
      <c r="D231" s="19" t="s">
        <v>632</v>
      </c>
      <c r="E231" s="19" t="s">
        <v>13</v>
      </c>
      <c r="F231" s="19" t="s">
        <v>14</v>
      </c>
      <c r="G231" s="19">
        <v>11.6</v>
      </c>
      <c r="H231" s="34">
        <v>17</v>
      </c>
      <c r="I231" s="19" t="s">
        <v>633</v>
      </c>
      <c r="J231" s="19" t="s">
        <v>634</v>
      </c>
      <c r="K231" s="34"/>
      <c r="L231" s="36">
        <f t="shared" si="3"/>
        <v>9.7573863034420878</v>
      </c>
      <c r="M231" s="37"/>
      <c r="N231" s="37"/>
      <c r="O231" s="37"/>
      <c r="P231" s="37"/>
      <c r="Q231" s="37"/>
      <c r="R231" s="41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 ht="15">
      <c r="A232" s="20" t="s">
        <v>10</v>
      </c>
      <c r="B232" s="32" t="s">
        <v>33</v>
      </c>
      <c r="C232" s="33">
        <v>44240.834722222222</v>
      </c>
      <c r="D232" s="19" t="s">
        <v>629</v>
      </c>
      <c r="E232" s="19" t="s">
        <v>13</v>
      </c>
      <c r="F232" s="19" t="s">
        <v>14</v>
      </c>
      <c r="G232" s="19">
        <v>11.8</v>
      </c>
      <c r="H232" s="34">
        <v>51</v>
      </c>
      <c r="I232" s="19" t="s">
        <v>635</v>
      </c>
      <c r="J232" s="19" t="s">
        <v>636</v>
      </c>
      <c r="K232" s="34"/>
      <c r="L232" s="36">
        <f t="shared" si="3"/>
        <v>4.3149266240098232</v>
      </c>
      <c r="M232" s="37"/>
      <c r="N232" s="37"/>
      <c r="O232" s="37"/>
      <c r="P232" s="37"/>
      <c r="Q232" s="37"/>
      <c r="R232" s="41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1:28" ht="15.75" thickBot="1">
      <c r="A233" s="20" t="s">
        <v>10</v>
      </c>
      <c r="B233" s="42" t="s">
        <v>49</v>
      </c>
      <c r="C233" s="43">
        <v>44240.82708333333</v>
      </c>
      <c r="D233" s="47" t="s">
        <v>637</v>
      </c>
      <c r="E233" s="47" t="s">
        <v>13</v>
      </c>
      <c r="F233" s="47" t="s">
        <v>14</v>
      </c>
      <c r="G233" s="47">
        <v>6</v>
      </c>
      <c r="H233" s="48">
        <v>354</v>
      </c>
      <c r="I233" s="47" t="s">
        <v>638</v>
      </c>
      <c r="J233" s="47" t="s">
        <v>639</v>
      </c>
      <c r="K233" s="48"/>
      <c r="L233" s="49">
        <f t="shared" si="3"/>
        <v>3.5917103202739549</v>
      </c>
      <c r="M233" s="50"/>
      <c r="N233" s="50"/>
      <c r="O233" s="50"/>
      <c r="P233" s="50"/>
      <c r="Q233" s="50"/>
      <c r="R233" s="51"/>
      <c r="S233" s="44" t="s">
        <v>1510</v>
      </c>
      <c r="T233" s="6"/>
      <c r="U233" s="6"/>
      <c r="V233" s="6"/>
      <c r="W233" s="6"/>
      <c r="X233" s="6"/>
      <c r="Y233" s="6"/>
      <c r="Z233" s="6"/>
      <c r="AA233" s="6"/>
      <c r="AB233" s="6"/>
    </row>
    <row r="234" spans="1:28" ht="15">
      <c r="A234" s="20" t="s">
        <v>10</v>
      </c>
      <c r="B234" s="24" t="s">
        <v>58</v>
      </c>
      <c r="C234" s="25">
        <v>44240.786111111112</v>
      </c>
      <c r="D234" s="26" t="s">
        <v>640</v>
      </c>
      <c r="E234" s="26" t="s">
        <v>13</v>
      </c>
      <c r="F234" s="26" t="s">
        <v>14</v>
      </c>
      <c r="G234" s="26">
        <v>0.6</v>
      </c>
      <c r="H234" s="27">
        <v>311</v>
      </c>
      <c r="I234" s="26" t="s">
        <v>641</v>
      </c>
      <c r="J234" s="26" t="s">
        <v>642</v>
      </c>
      <c r="K234" s="27"/>
      <c r="L234" s="28">
        <f t="shared" si="3"/>
        <v>0.23000249728638375</v>
      </c>
      <c r="M234" s="29"/>
      <c r="N234" s="30" t="s">
        <v>271</v>
      </c>
      <c r="O234" s="30" t="s">
        <v>23</v>
      </c>
      <c r="P234" s="30" t="s">
        <v>1498</v>
      </c>
      <c r="Q234" s="30" t="s">
        <v>1495</v>
      </c>
      <c r="R234" s="31" t="s">
        <v>1499</v>
      </c>
      <c r="S234" s="45">
        <f>(C233 - C234)*24</f>
        <v>0.98333333322079852</v>
      </c>
      <c r="T234" s="6"/>
      <c r="U234" s="6"/>
      <c r="V234" s="6"/>
      <c r="W234" s="6"/>
      <c r="X234" s="6"/>
      <c r="Y234" s="6"/>
      <c r="Z234" s="6"/>
      <c r="AA234" s="6"/>
      <c r="AB234" s="6"/>
    </row>
    <row r="235" spans="1:28" ht="15">
      <c r="A235" s="20" t="s">
        <v>10</v>
      </c>
      <c r="B235" s="32" t="s">
        <v>33</v>
      </c>
      <c r="C235" s="33">
        <v>44240.78125</v>
      </c>
      <c r="D235" s="19" t="s">
        <v>118</v>
      </c>
      <c r="E235" s="19" t="s">
        <v>13</v>
      </c>
      <c r="F235" s="19" t="s">
        <v>14</v>
      </c>
      <c r="G235" s="19">
        <v>8.1999999999999993</v>
      </c>
      <c r="H235" s="34">
        <v>214</v>
      </c>
      <c r="I235" s="19" t="s">
        <v>643</v>
      </c>
      <c r="J235" s="19" t="s">
        <v>644</v>
      </c>
      <c r="K235" s="34"/>
      <c r="L235" s="36">
        <f t="shared" si="3"/>
        <v>0.7085259632395684</v>
      </c>
      <c r="M235" s="37"/>
      <c r="N235" s="38" t="s">
        <v>1538</v>
      </c>
      <c r="O235" s="38" t="s">
        <v>1537</v>
      </c>
      <c r="P235" s="39">
        <f>SUM(L234:L236)</f>
        <v>3.3721292969989598</v>
      </c>
      <c r="Q235" s="39">
        <f>AVERAGE(G235:G235)</f>
        <v>8.1999999999999993</v>
      </c>
      <c r="R235" s="46">
        <f>(C234 - C236)*24</f>
        <v>0.28333333338377997</v>
      </c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ht="15.75" thickBot="1">
      <c r="A236" s="20" t="s">
        <v>10</v>
      </c>
      <c r="B236" s="42" t="s">
        <v>49</v>
      </c>
      <c r="C236" s="43">
        <v>44240.774305555555</v>
      </c>
      <c r="D236" s="47" t="s">
        <v>645</v>
      </c>
      <c r="E236" s="47" t="s">
        <v>13</v>
      </c>
      <c r="F236" s="47" t="s">
        <v>14</v>
      </c>
      <c r="G236" s="47">
        <v>4.8</v>
      </c>
      <c r="H236" s="48">
        <v>95</v>
      </c>
      <c r="I236" s="47" t="s">
        <v>646</v>
      </c>
      <c r="J236" s="47" t="s">
        <v>647</v>
      </c>
      <c r="K236" s="48"/>
      <c r="L236" s="49">
        <f t="shared" si="3"/>
        <v>2.4336008364730075</v>
      </c>
      <c r="M236" s="50"/>
      <c r="N236" s="50"/>
      <c r="O236" s="50"/>
      <c r="P236" s="50"/>
      <c r="Q236" s="50"/>
      <c r="R236" s="51"/>
      <c r="S236" s="44" t="s">
        <v>1510</v>
      </c>
      <c r="T236" s="6"/>
      <c r="U236" s="6"/>
      <c r="V236" s="6"/>
      <c r="W236" s="6"/>
      <c r="X236" s="6"/>
      <c r="Y236" s="6"/>
      <c r="Z236" s="6"/>
      <c r="AA236" s="6"/>
      <c r="AB236" s="6"/>
    </row>
    <row r="237" spans="1:28" ht="15">
      <c r="A237" s="20" t="s">
        <v>10</v>
      </c>
      <c r="B237" s="24" t="s">
        <v>58</v>
      </c>
      <c r="C237" s="25">
        <v>44240.72152777778</v>
      </c>
      <c r="D237" s="26" t="s">
        <v>648</v>
      </c>
      <c r="E237" s="26" t="s">
        <v>13</v>
      </c>
      <c r="F237" s="26" t="s">
        <v>14</v>
      </c>
      <c r="G237" s="26">
        <v>0.3</v>
      </c>
      <c r="H237" s="27">
        <v>87</v>
      </c>
      <c r="I237" s="26" t="s">
        <v>649</v>
      </c>
      <c r="J237" s="26" t="s">
        <v>650</v>
      </c>
      <c r="K237" s="27"/>
      <c r="L237" s="28">
        <f t="shared" si="3"/>
        <v>0.30465131079780511</v>
      </c>
      <c r="M237" s="29"/>
      <c r="N237" s="30" t="s">
        <v>271</v>
      </c>
      <c r="O237" s="30" t="s">
        <v>23</v>
      </c>
      <c r="P237" s="30" t="s">
        <v>1498</v>
      </c>
      <c r="Q237" s="30" t="s">
        <v>1495</v>
      </c>
      <c r="R237" s="31" t="s">
        <v>1499</v>
      </c>
      <c r="S237" s="45">
        <f>(C236 - C237)*24</f>
        <v>1.2666666666045785</v>
      </c>
      <c r="T237" s="6"/>
      <c r="U237" s="6"/>
      <c r="V237" s="6"/>
      <c r="W237" s="6"/>
      <c r="X237" s="6"/>
      <c r="Y237" s="6"/>
      <c r="Z237" s="6"/>
      <c r="AA237" s="6"/>
      <c r="AB237" s="6"/>
    </row>
    <row r="238" spans="1:28" ht="15">
      <c r="A238" s="20" t="s">
        <v>10</v>
      </c>
      <c r="B238" s="32" t="s">
        <v>33</v>
      </c>
      <c r="C238" s="33">
        <v>44240.718055555553</v>
      </c>
      <c r="D238" s="19" t="s">
        <v>651</v>
      </c>
      <c r="E238" s="19" t="s">
        <v>13</v>
      </c>
      <c r="F238" s="19" t="s">
        <v>14</v>
      </c>
      <c r="G238" s="19">
        <v>4.5999999999999996</v>
      </c>
      <c r="H238" s="34">
        <v>240</v>
      </c>
      <c r="I238" s="19" t="s">
        <v>652</v>
      </c>
      <c r="J238" s="19" t="s">
        <v>653</v>
      </c>
      <c r="K238" s="34"/>
      <c r="L238" s="36">
        <f t="shared" si="3"/>
        <v>0.1492700830236893</v>
      </c>
      <c r="M238" s="37"/>
      <c r="N238" s="38" t="s">
        <v>1539</v>
      </c>
      <c r="O238" s="38" t="s">
        <v>1538</v>
      </c>
      <c r="P238" s="39">
        <f>SUM(L237:L241)</f>
        <v>19.622113170123804</v>
      </c>
      <c r="Q238" s="39">
        <f>AVERAGE(G239:G240)</f>
        <v>10.100000000000001</v>
      </c>
      <c r="R238" s="46">
        <f>(C237 - C241)*24</f>
        <v>1.1166666666395031</v>
      </c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>
      <c r="A239" s="20" t="s">
        <v>10</v>
      </c>
      <c r="B239" s="32" t="s">
        <v>33</v>
      </c>
      <c r="C239" s="33">
        <v>44240.688888888886</v>
      </c>
      <c r="D239" s="19" t="s">
        <v>654</v>
      </c>
      <c r="E239" s="19" t="s">
        <v>13</v>
      </c>
      <c r="F239" s="19" t="s">
        <v>14</v>
      </c>
      <c r="G239" s="19">
        <v>10.3</v>
      </c>
      <c r="H239" s="34">
        <v>282</v>
      </c>
      <c r="I239" s="19" t="s">
        <v>656</v>
      </c>
      <c r="J239" s="19" t="s">
        <v>657</v>
      </c>
      <c r="K239" s="34"/>
      <c r="L239" s="36">
        <f t="shared" si="3"/>
        <v>13.89918315929468</v>
      </c>
      <c r="M239" s="37"/>
      <c r="N239" s="37"/>
      <c r="O239" s="37"/>
      <c r="P239" s="37"/>
      <c r="Q239" s="37"/>
      <c r="R239" s="41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ht="15">
      <c r="A240" s="20" t="s">
        <v>10</v>
      </c>
      <c r="B240" s="32" t="s">
        <v>33</v>
      </c>
      <c r="C240" s="33">
        <v>44240.681944444441</v>
      </c>
      <c r="D240" s="19" t="s">
        <v>463</v>
      </c>
      <c r="E240" s="19" t="s">
        <v>13</v>
      </c>
      <c r="F240" s="19" t="s">
        <v>14</v>
      </c>
      <c r="G240" s="19">
        <v>9.9</v>
      </c>
      <c r="H240" s="34">
        <v>313</v>
      </c>
      <c r="I240" s="19" t="s">
        <v>658</v>
      </c>
      <c r="J240" s="19" t="s">
        <v>659</v>
      </c>
      <c r="K240" s="34"/>
      <c r="L240" s="36">
        <f t="shared" si="3"/>
        <v>3.1960597455336313</v>
      </c>
      <c r="M240" s="37"/>
      <c r="N240" s="37"/>
      <c r="O240" s="37"/>
      <c r="P240" s="37"/>
      <c r="Q240" s="37"/>
      <c r="R240" s="41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ht="15.75" thickBot="1">
      <c r="A241" s="20" t="s">
        <v>10</v>
      </c>
      <c r="B241" s="42" t="s">
        <v>49</v>
      </c>
      <c r="C241" s="43">
        <v>44240.675000000003</v>
      </c>
      <c r="D241" s="47" t="s">
        <v>660</v>
      </c>
      <c r="E241" s="47" t="s">
        <v>13</v>
      </c>
      <c r="F241" s="47" t="s">
        <v>14</v>
      </c>
      <c r="G241" s="47">
        <v>4</v>
      </c>
      <c r="H241" s="48">
        <v>15</v>
      </c>
      <c r="I241" s="47" t="s">
        <v>661</v>
      </c>
      <c r="J241" s="47" t="s">
        <v>662</v>
      </c>
      <c r="K241" s="48"/>
      <c r="L241" s="49">
        <f t="shared" si="3"/>
        <v>2.0729488714739954</v>
      </c>
      <c r="M241" s="50"/>
      <c r="N241" s="50"/>
      <c r="O241" s="50"/>
      <c r="P241" s="50"/>
      <c r="Q241" s="50"/>
      <c r="R241" s="51"/>
      <c r="S241" s="44" t="s">
        <v>1510</v>
      </c>
      <c r="T241" s="6"/>
      <c r="U241" s="6"/>
      <c r="V241" s="6"/>
      <c r="W241" s="6"/>
      <c r="X241" s="6"/>
      <c r="Y241" s="6"/>
      <c r="Z241" s="6"/>
      <c r="AA241" s="6"/>
      <c r="AB241" s="6"/>
    </row>
    <row r="242" spans="1:28" ht="15">
      <c r="A242" s="20" t="s">
        <v>10</v>
      </c>
      <c r="B242" s="24" t="s">
        <v>58</v>
      </c>
      <c r="C242" s="25">
        <v>44240.615972222222</v>
      </c>
      <c r="D242" s="26" t="s">
        <v>663</v>
      </c>
      <c r="E242" s="26" t="s">
        <v>13</v>
      </c>
      <c r="F242" s="26" t="s">
        <v>14</v>
      </c>
      <c r="G242" s="26">
        <v>0.9</v>
      </c>
      <c r="H242" s="27">
        <v>198</v>
      </c>
      <c r="I242" s="26" t="s">
        <v>664</v>
      </c>
      <c r="J242" s="26" t="s">
        <v>665</v>
      </c>
      <c r="K242" s="27"/>
      <c r="L242" s="28">
        <f t="shared" si="3"/>
        <v>9.9076776187459456E-2</v>
      </c>
      <c r="M242" s="29"/>
      <c r="N242" s="30" t="s">
        <v>271</v>
      </c>
      <c r="O242" s="30" t="s">
        <v>23</v>
      </c>
      <c r="P242" s="30" t="s">
        <v>1498</v>
      </c>
      <c r="Q242" s="30" t="s">
        <v>1495</v>
      </c>
      <c r="R242" s="31" t="s">
        <v>1499</v>
      </c>
      <c r="S242" s="45">
        <f>(C241 - C242)*24</f>
        <v>1.4166666667442769</v>
      </c>
      <c r="T242" s="6"/>
      <c r="U242" s="6"/>
      <c r="V242" s="6"/>
      <c r="W242" s="6"/>
      <c r="X242" s="6"/>
      <c r="Y242" s="6"/>
      <c r="Z242" s="6"/>
      <c r="AA242" s="6"/>
      <c r="AB242" s="6"/>
    </row>
    <row r="243" spans="1:28" ht="15">
      <c r="A243" s="20" t="s">
        <v>10</v>
      </c>
      <c r="B243" s="32" t="s">
        <v>33</v>
      </c>
      <c r="C243" s="33">
        <v>44240.568055555559</v>
      </c>
      <c r="D243" s="19" t="s">
        <v>666</v>
      </c>
      <c r="E243" s="19" t="s">
        <v>13</v>
      </c>
      <c r="F243" s="19" t="s">
        <v>14</v>
      </c>
      <c r="G243" s="19">
        <v>13.1</v>
      </c>
      <c r="H243" s="34">
        <v>53</v>
      </c>
      <c r="I243" s="19" t="s">
        <v>667</v>
      </c>
      <c r="J243" s="19" t="s">
        <v>668</v>
      </c>
      <c r="K243" s="34"/>
      <c r="L243" s="36">
        <f t="shared" si="3"/>
        <v>25.543671014042602</v>
      </c>
      <c r="M243" s="37"/>
      <c r="N243" s="38" t="s">
        <v>1540</v>
      </c>
      <c r="O243" s="38" t="s">
        <v>1539</v>
      </c>
      <c r="P243" s="39">
        <f>SUM(L242:L246)</f>
        <v>29.234638870336113</v>
      </c>
      <c r="Q243" s="39">
        <f>AVERAGE(G243:G243)</f>
        <v>13.1</v>
      </c>
      <c r="R243" s="46">
        <f>(C242 - C246)*24</f>
        <v>1.7499999999417923</v>
      </c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ht="15">
      <c r="A244" s="20" t="s">
        <v>10</v>
      </c>
      <c r="B244" s="32" t="s">
        <v>49</v>
      </c>
      <c r="C244" s="33">
        <v>44240.560416666667</v>
      </c>
      <c r="D244" s="19" t="s">
        <v>669</v>
      </c>
      <c r="E244" s="19" t="s">
        <v>13</v>
      </c>
      <c r="F244" s="19" t="s">
        <v>14</v>
      </c>
      <c r="G244" s="19">
        <v>4</v>
      </c>
      <c r="H244" s="34">
        <v>143</v>
      </c>
      <c r="I244" s="19" t="s">
        <v>670</v>
      </c>
      <c r="J244" s="19" t="s">
        <v>671</v>
      </c>
      <c r="K244" s="34"/>
      <c r="L244" s="36">
        <f t="shared" si="3"/>
        <v>3.4798284350291246</v>
      </c>
      <c r="M244" s="37"/>
      <c r="N244" s="37"/>
      <c r="O244" s="37"/>
      <c r="P244" s="37"/>
      <c r="Q244" s="37"/>
      <c r="R244" s="41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ht="15">
      <c r="A245" s="20" t="s">
        <v>10</v>
      </c>
      <c r="B245" s="32" t="s">
        <v>155</v>
      </c>
      <c r="C245" s="33">
        <v>44240.556944444441</v>
      </c>
      <c r="D245" s="19" t="s">
        <v>672</v>
      </c>
      <c r="E245" s="19" t="s">
        <v>13</v>
      </c>
      <c r="F245" s="19" t="s">
        <v>14</v>
      </c>
      <c r="G245" s="19" t="s">
        <v>15</v>
      </c>
      <c r="H245" s="34">
        <v>15</v>
      </c>
      <c r="I245" s="19" t="s">
        <v>673</v>
      </c>
      <c r="J245" s="19" t="s">
        <v>674</v>
      </c>
      <c r="K245" s="34"/>
      <c r="L245" s="36">
        <f t="shared" si="3"/>
        <v>0.11050096050391231</v>
      </c>
      <c r="M245" s="37"/>
      <c r="N245" s="37"/>
      <c r="O245" s="37"/>
      <c r="P245" s="37"/>
      <c r="Q245" s="37"/>
      <c r="R245" s="41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ht="15.75" thickBot="1">
      <c r="A246" s="20" t="s">
        <v>10</v>
      </c>
      <c r="B246" s="42" t="s">
        <v>159</v>
      </c>
      <c r="C246" s="43">
        <v>44240.543055555558</v>
      </c>
      <c r="D246" s="47" t="s">
        <v>675</v>
      </c>
      <c r="E246" s="47" t="s">
        <v>13</v>
      </c>
      <c r="F246" s="47" t="s">
        <v>14</v>
      </c>
      <c r="G246" s="47" t="s">
        <v>15</v>
      </c>
      <c r="H246" s="48">
        <v>67</v>
      </c>
      <c r="I246" s="47" t="s">
        <v>676</v>
      </c>
      <c r="J246" s="47" t="s">
        <v>677</v>
      </c>
      <c r="K246" s="48"/>
      <c r="L246" s="49">
        <f t="shared" si="3"/>
        <v>1.5616845730147422E-3</v>
      </c>
      <c r="M246" s="50"/>
      <c r="N246" s="50"/>
      <c r="O246" s="50"/>
      <c r="P246" s="50"/>
      <c r="Q246" s="50"/>
      <c r="R246" s="51"/>
      <c r="S246" s="44" t="s">
        <v>1510</v>
      </c>
      <c r="T246" s="6"/>
      <c r="U246" s="6"/>
      <c r="V246" s="6"/>
      <c r="W246" s="6"/>
      <c r="X246" s="6"/>
      <c r="Y246" s="6"/>
      <c r="Z246" s="6"/>
      <c r="AA246" s="6"/>
      <c r="AB246" s="6"/>
    </row>
    <row r="247" spans="1:28" ht="15">
      <c r="A247" s="20" t="s">
        <v>10</v>
      </c>
      <c r="B247" s="24" t="s">
        <v>58</v>
      </c>
      <c r="C247" s="25">
        <v>44240.536805555559</v>
      </c>
      <c r="D247" s="26" t="s">
        <v>678</v>
      </c>
      <c r="E247" s="26" t="s">
        <v>13</v>
      </c>
      <c r="F247" s="26" t="s">
        <v>14</v>
      </c>
      <c r="G247" s="26">
        <v>0.2</v>
      </c>
      <c r="H247" s="27">
        <v>0</v>
      </c>
      <c r="I247" s="26" t="s">
        <v>679</v>
      </c>
      <c r="J247" s="26" t="s">
        <v>680</v>
      </c>
      <c r="K247" s="27"/>
      <c r="L247" s="28">
        <f t="shared" si="3"/>
        <v>2.3987288274475438E-3</v>
      </c>
      <c r="M247" s="29"/>
      <c r="N247" s="30" t="s">
        <v>271</v>
      </c>
      <c r="O247" s="30" t="s">
        <v>23</v>
      </c>
      <c r="P247" s="30" t="s">
        <v>1498</v>
      </c>
      <c r="Q247" s="30" t="s">
        <v>1495</v>
      </c>
      <c r="R247" s="31" t="s">
        <v>1499</v>
      </c>
      <c r="S247" s="45">
        <f>(C246 - C247)*24</f>
        <v>0.1499999999650754</v>
      </c>
      <c r="T247" s="6"/>
      <c r="U247" s="6"/>
      <c r="V247" s="6"/>
      <c r="W247" s="6"/>
      <c r="X247" s="6"/>
      <c r="Y247" s="6"/>
      <c r="Z247" s="6"/>
      <c r="AA247" s="6"/>
      <c r="AB247" s="6"/>
    </row>
    <row r="248" spans="1:28" ht="15">
      <c r="A248" s="20" t="s">
        <v>10</v>
      </c>
      <c r="B248" s="32" t="s">
        <v>11</v>
      </c>
      <c r="C248" s="33">
        <v>44240.467361111114</v>
      </c>
      <c r="D248" s="19" t="s">
        <v>681</v>
      </c>
      <c r="E248" s="19" t="s">
        <v>13</v>
      </c>
      <c r="F248" s="19" t="s">
        <v>14</v>
      </c>
      <c r="G248" s="19">
        <v>13.6</v>
      </c>
      <c r="H248" s="34">
        <v>49</v>
      </c>
      <c r="I248" s="19" t="s">
        <v>682</v>
      </c>
      <c r="J248" s="19" t="s">
        <v>683</v>
      </c>
      <c r="K248" s="34"/>
      <c r="L248" s="36">
        <f t="shared" si="3"/>
        <v>36.105044979879693</v>
      </c>
      <c r="M248" s="37"/>
      <c r="N248" s="38" t="s">
        <v>1530</v>
      </c>
      <c r="O248" s="38" t="s">
        <v>1540</v>
      </c>
      <c r="P248" s="39">
        <f>SUM(L247:L257)</f>
        <v>311.43182129070004</v>
      </c>
      <c r="Q248" s="39">
        <f>AVERAGE(G248:G255)</f>
        <v>12.087499999999999</v>
      </c>
      <c r="R248" s="46">
        <f>(C247 - C257)*24</f>
        <v>15.066666666709352</v>
      </c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ht="15">
      <c r="A249" s="20" t="s">
        <v>10</v>
      </c>
      <c r="B249" s="32" t="s">
        <v>359</v>
      </c>
      <c r="C249" s="33">
        <v>44240.390277777777</v>
      </c>
      <c r="D249" s="19" t="s">
        <v>396</v>
      </c>
      <c r="E249" s="19" t="s">
        <v>13</v>
      </c>
      <c r="F249" s="19" t="s">
        <v>14</v>
      </c>
      <c r="G249" s="19">
        <v>12.3</v>
      </c>
      <c r="H249" s="34">
        <v>56</v>
      </c>
      <c r="I249" s="19" t="s">
        <v>684</v>
      </c>
      <c r="J249" s="19" t="s">
        <v>685</v>
      </c>
      <c r="K249" s="34"/>
      <c r="L249" s="36">
        <f t="shared" si="3"/>
        <v>44.601103786450103</v>
      </c>
      <c r="M249" s="37"/>
      <c r="N249" s="37"/>
      <c r="O249" s="37"/>
      <c r="P249" s="37"/>
      <c r="Q249" s="37"/>
      <c r="R249" s="41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ht="15">
      <c r="A250" s="20" t="s">
        <v>10</v>
      </c>
      <c r="B250" s="32" t="s">
        <v>54</v>
      </c>
      <c r="C250" s="33">
        <v>44240.361805555556</v>
      </c>
      <c r="D250" s="19" t="s">
        <v>686</v>
      </c>
      <c r="E250" s="19" t="s">
        <v>13</v>
      </c>
      <c r="F250" s="19" t="s">
        <v>364</v>
      </c>
      <c r="G250" s="19">
        <v>11.6</v>
      </c>
      <c r="H250" s="34">
        <v>66</v>
      </c>
      <c r="I250" s="19" t="s">
        <v>687</v>
      </c>
      <c r="J250" s="19" t="s">
        <v>688</v>
      </c>
      <c r="K250" s="34"/>
      <c r="L250" s="36">
        <f t="shared" si="3"/>
        <v>15.306976384316091</v>
      </c>
      <c r="M250" s="37"/>
      <c r="N250" s="37"/>
      <c r="O250" s="37"/>
      <c r="P250" s="37"/>
      <c r="Q250" s="37"/>
      <c r="R250" s="41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ht="15">
      <c r="A251" s="20" t="s">
        <v>10</v>
      </c>
      <c r="B251" s="32" t="s">
        <v>359</v>
      </c>
      <c r="C251" s="33">
        <v>44240.056944444441</v>
      </c>
      <c r="D251" s="19" t="s">
        <v>480</v>
      </c>
      <c r="E251" s="19" t="s">
        <v>13</v>
      </c>
      <c r="F251" s="19" t="s">
        <v>364</v>
      </c>
      <c r="G251" s="19">
        <v>11.6</v>
      </c>
      <c r="H251" s="34">
        <v>347</v>
      </c>
      <c r="I251" s="19" t="s">
        <v>689</v>
      </c>
      <c r="J251" s="19" t="s">
        <v>690</v>
      </c>
      <c r="K251" s="34"/>
      <c r="L251" s="36">
        <f t="shared" si="3"/>
        <v>151.05139764346532</v>
      </c>
      <c r="M251" s="37"/>
      <c r="N251" s="37"/>
      <c r="O251" s="37"/>
      <c r="P251" s="37"/>
      <c r="Q251" s="37"/>
      <c r="R251" s="41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5">
      <c r="A252" s="20" t="s">
        <v>10</v>
      </c>
      <c r="B252" s="32" t="s">
        <v>359</v>
      </c>
      <c r="C252" s="33">
        <v>44240.029861111114</v>
      </c>
      <c r="D252" s="19" t="s">
        <v>691</v>
      </c>
      <c r="E252" s="19" t="s">
        <v>13</v>
      </c>
      <c r="F252" s="19" t="s">
        <v>364</v>
      </c>
      <c r="G252" s="19">
        <v>12.1</v>
      </c>
      <c r="H252" s="34">
        <v>345</v>
      </c>
      <c r="I252" s="19" t="s">
        <v>692</v>
      </c>
      <c r="J252" s="19" t="s">
        <v>693</v>
      </c>
      <c r="K252" s="34"/>
      <c r="L252" s="36">
        <f t="shared" si="3"/>
        <v>14.01681297533338</v>
      </c>
      <c r="M252" s="37"/>
      <c r="N252" s="37"/>
      <c r="O252" s="37"/>
      <c r="P252" s="37"/>
      <c r="Q252" s="37"/>
      <c r="R252" s="41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 ht="15">
      <c r="A253" s="20" t="s">
        <v>10</v>
      </c>
      <c r="B253" s="32" t="s">
        <v>359</v>
      </c>
      <c r="C253" s="33">
        <v>44240.029861111114</v>
      </c>
      <c r="D253" s="19" t="s">
        <v>694</v>
      </c>
      <c r="E253" s="19" t="s">
        <v>13</v>
      </c>
      <c r="F253" s="19" t="s">
        <v>364</v>
      </c>
      <c r="G253" s="19">
        <v>12.1</v>
      </c>
      <c r="H253" s="34">
        <v>345</v>
      </c>
      <c r="I253" s="19" t="s">
        <v>692</v>
      </c>
      <c r="J253" s="19" t="s">
        <v>693</v>
      </c>
      <c r="K253" s="34"/>
      <c r="L253" s="36">
        <f t="shared" si="3"/>
        <v>0</v>
      </c>
      <c r="M253" s="37"/>
      <c r="N253" s="37"/>
      <c r="O253" s="37"/>
      <c r="P253" s="37"/>
      <c r="Q253" s="37"/>
      <c r="R253" s="41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 ht="15">
      <c r="A254" s="20" t="s">
        <v>10</v>
      </c>
      <c r="B254" s="32" t="s">
        <v>28</v>
      </c>
      <c r="C254" s="33">
        <v>44239.967361111114</v>
      </c>
      <c r="D254" s="19" t="s">
        <v>695</v>
      </c>
      <c r="E254" s="19" t="s">
        <v>13</v>
      </c>
      <c r="F254" s="19" t="s">
        <v>364</v>
      </c>
      <c r="G254" s="19">
        <v>11.8</v>
      </c>
      <c r="H254" s="34">
        <v>61</v>
      </c>
      <c r="I254" s="19" t="s">
        <v>696</v>
      </c>
      <c r="J254" s="19" t="s">
        <v>697</v>
      </c>
      <c r="K254" s="34"/>
      <c r="L254" s="36">
        <f t="shared" si="3"/>
        <v>23.104944353727909</v>
      </c>
      <c r="M254" s="37"/>
      <c r="N254" s="37"/>
      <c r="O254" s="37"/>
      <c r="P254" s="37"/>
      <c r="Q254" s="37"/>
      <c r="R254" s="41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ht="15">
      <c r="A255" s="20" t="s">
        <v>10</v>
      </c>
      <c r="B255" s="32" t="s">
        <v>488</v>
      </c>
      <c r="C255" s="33">
        <v>44239.916666666664</v>
      </c>
      <c r="D255" s="19" t="s">
        <v>698</v>
      </c>
      <c r="E255" s="19" t="s">
        <v>13</v>
      </c>
      <c r="F255" s="19" t="s">
        <v>364</v>
      </c>
      <c r="G255" s="19">
        <v>11.6</v>
      </c>
      <c r="H255" s="34">
        <v>32</v>
      </c>
      <c r="I255" s="19" t="s">
        <v>699</v>
      </c>
      <c r="J255" s="19" t="s">
        <v>700</v>
      </c>
      <c r="K255" s="34"/>
      <c r="L255" s="36">
        <f t="shared" si="3"/>
        <v>24.08099729008152</v>
      </c>
      <c r="M255" s="37"/>
      <c r="N255" s="37"/>
      <c r="O255" s="37"/>
      <c r="P255" s="37"/>
      <c r="Q255" s="37"/>
      <c r="R255" s="41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 ht="15">
      <c r="A256" s="20" t="s">
        <v>10</v>
      </c>
      <c r="B256" s="32" t="s">
        <v>271</v>
      </c>
      <c r="C256" s="33">
        <v>44239.911111111112</v>
      </c>
      <c r="D256" s="19" t="s">
        <v>492</v>
      </c>
      <c r="E256" s="19" t="s">
        <v>13</v>
      </c>
      <c r="F256" s="19" t="s">
        <v>364</v>
      </c>
      <c r="G256" s="19" t="s">
        <v>25</v>
      </c>
      <c r="H256" s="34"/>
      <c r="I256" s="72" t="s">
        <v>702</v>
      </c>
      <c r="J256" s="72" t="s">
        <v>703</v>
      </c>
      <c r="K256" s="34"/>
      <c r="L256" s="36">
        <f t="shared" si="3"/>
        <v>3.1621451486186172</v>
      </c>
      <c r="M256" s="37"/>
      <c r="N256" s="37"/>
      <c r="O256" s="37"/>
      <c r="P256" s="37"/>
      <c r="Q256" s="37"/>
      <c r="R256" s="41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ht="15.75" thickBot="1">
      <c r="A257" s="20" t="s">
        <v>10</v>
      </c>
      <c r="B257" s="42" t="s">
        <v>272</v>
      </c>
      <c r="C257" s="43">
        <v>44239.90902777778</v>
      </c>
      <c r="D257" s="47" t="s">
        <v>493</v>
      </c>
      <c r="E257" s="47" t="s">
        <v>13</v>
      </c>
      <c r="F257" s="47" t="s">
        <v>364</v>
      </c>
      <c r="G257" s="47" t="s">
        <v>25</v>
      </c>
      <c r="H257" s="48"/>
      <c r="I257" s="47" t="s">
        <v>25</v>
      </c>
      <c r="J257" s="47" t="s">
        <v>25</v>
      </c>
      <c r="K257" s="48"/>
      <c r="L257" s="49"/>
      <c r="M257" s="50"/>
      <c r="N257" s="50"/>
      <c r="O257" s="50"/>
      <c r="P257" s="50"/>
      <c r="Q257" s="50"/>
      <c r="R257" s="51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ht="15">
      <c r="A258" s="20" t="s">
        <v>10</v>
      </c>
      <c r="B258" s="24" t="s">
        <v>21</v>
      </c>
      <c r="C258" s="25">
        <v>44239.90625</v>
      </c>
      <c r="D258" s="26" t="s">
        <v>273</v>
      </c>
      <c r="E258" s="26" t="s">
        <v>13</v>
      </c>
      <c r="F258" s="26" t="s">
        <v>364</v>
      </c>
      <c r="G258" s="26" t="s">
        <v>701</v>
      </c>
      <c r="H258" s="27">
        <v>300</v>
      </c>
      <c r="I258" s="26" t="s">
        <v>702</v>
      </c>
      <c r="J258" s="26" t="s">
        <v>703</v>
      </c>
      <c r="K258" s="27"/>
      <c r="L258" s="5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ht="15">
      <c r="A259" s="20" t="s">
        <v>10</v>
      </c>
      <c r="B259" s="32" t="s">
        <v>11</v>
      </c>
      <c r="C259" s="33">
        <v>44239.46597222222</v>
      </c>
      <c r="D259" s="19" t="s">
        <v>704</v>
      </c>
      <c r="E259" s="19" t="s">
        <v>13</v>
      </c>
      <c r="F259" s="19" t="s">
        <v>364</v>
      </c>
      <c r="G259" s="19" t="s">
        <v>15</v>
      </c>
      <c r="H259" s="34">
        <v>32</v>
      </c>
      <c r="I259" s="19" t="s">
        <v>705</v>
      </c>
      <c r="J259" s="19" t="s">
        <v>706</v>
      </c>
      <c r="K259" s="34"/>
      <c r="L259" s="57">
        <f t="shared" si="3"/>
        <v>3.7084300279211148E-2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ht="15">
      <c r="A260" s="20" t="s">
        <v>10</v>
      </c>
      <c r="B260" s="32" t="s">
        <v>21</v>
      </c>
      <c r="C260" s="33">
        <v>44239.257638888892</v>
      </c>
      <c r="D260" s="19" t="s">
        <v>22</v>
      </c>
      <c r="E260" s="19" t="s">
        <v>13</v>
      </c>
      <c r="F260" s="19" t="s">
        <v>364</v>
      </c>
      <c r="G260" s="19" t="s">
        <v>15</v>
      </c>
      <c r="H260" s="34">
        <v>32</v>
      </c>
      <c r="I260" s="19" t="s">
        <v>500</v>
      </c>
      <c r="J260" s="19" t="s">
        <v>707</v>
      </c>
      <c r="K260" s="34"/>
      <c r="L260" s="57">
        <f t="shared" si="3"/>
        <v>3.5914972809593824E-3</v>
      </c>
      <c r="M260" s="6" t="s">
        <v>1530</v>
      </c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ht="15">
      <c r="A261" s="20" t="s">
        <v>10</v>
      </c>
      <c r="B261" s="32" t="s">
        <v>26</v>
      </c>
      <c r="C261" s="33">
        <v>44239.251388888886</v>
      </c>
      <c r="D261" s="19" t="s">
        <v>493</v>
      </c>
      <c r="E261" s="19" t="s">
        <v>13</v>
      </c>
      <c r="F261" s="19" t="s">
        <v>364</v>
      </c>
      <c r="G261" s="19" t="s">
        <v>25</v>
      </c>
      <c r="H261" s="34"/>
      <c r="I261" s="19" t="s">
        <v>25</v>
      </c>
      <c r="J261" s="19" t="s">
        <v>25</v>
      </c>
      <c r="K261" s="34"/>
      <c r="L261" s="57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ht="15.75" thickBot="1">
      <c r="A262" s="20" t="s">
        <v>10</v>
      </c>
      <c r="B262" s="42" t="s">
        <v>23</v>
      </c>
      <c r="C262" s="43">
        <v>44239.247916666667</v>
      </c>
      <c r="D262" s="47" t="s">
        <v>492</v>
      </c>
      <c r="E262" s="47" t="s">
        <v>13</v>
      </c>
      <c r="F262" s="47" t="s">
        <v>364</v>
      </c>
      <c r="G262" s="47" t="s">
        <v>25</v>
      </c>
      <c r="H262" s="48"/>
      <c r="I262" s="73" t="s">
        <v>702</v>
      </c>
      <c r="J262" s="73" t="s">
        <v>703</v>
      </c>
      <c r="K262" s="48"/>
      <c r="L262" s="60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ht="15">
      <c r="A263" s="20" t="s">
        <v>10</v>
      </c>
      <c r="B263" s="24" t="s">
        <v>376</v>
      </c>
      <c r="C263" s="25">
        <v>44239.106944444444</v>
      </c>
      <c r="D263" s="26" t="s">
        <v>510</v>
      </c>
      <c r="E263" s="26" t="s">
        <v>13</v>
      </c>
      <c r="F263" s="26" t="s">
        <v>364</v>
      </c>
      <c r="G263" s="26">
        <v>11.6</v>
      </c>
      <c r="H263" s="27">
        <v>180</v>
      </c>
      <c r="I263" s="26" t="s">
        <v>708</v>
      </c>
      <c r="J263" s="26" t="s">
        <v>709</v>
      </c>
      <c r="K263" s="27"/>
      <c r="L263" s="28">
        <f>ACOS((SIN(I262*PI()/180)*SIN(I263*PI()/180)+COS(I262*PI()/180)*COS(I263*PI()/180)*COS(J263*PI()/180-J262*PI()/180)))*3443.8985*1.852</f>
        <v>43.252282349498763</v>
      </c>
      <c r="M263" s="29"/>
      <c r="N263" s="30" t="s">
        <v>271</v>
      </c>
      <c r="O263" s="30" t="s">
        <v>23</v>
      </c>
      <c r="P263" s="30" t="s">
        <v>1498</v>
      </c>
      <c r="Q263" s="30" t="s">
        <v>1495</v>
      </c>
      <c r="R263" s="31" t="s">
        <v>1499</v>
      </c>
      <c r="S263" s="6"/>
      <c r="T263" s="6"/>
      <c r="U263" s="392" t="s">
        <v>1552</v>
      </c>
      <c r="V263" s="392"/>
      <c r="W263" s="392"/>
      <c r="X263" s="6"/>
      <c r="Y263" s="6"/>
      <c r="Z263" s="6"/>
      <c r="AA263" s="6"/>
      <c r="AB263" s="6"/>
    </row>
    <row r="264" spans="1:28" ht="15">
      <c r="A264" s="20" t="s">
        <v>10</v>
      </c>
      <c r="B264" s="32" t="s">
        <v>376</v>
      </c>
      <c r="C264" s="33">
        <v>44239.106944444444</v>
      </c>
      <c r="D264" s="19" t="s">
        <v>513</v>
      </c>
      <c r="E264" s="19" t="s">
        <v>13</v>
      </c>
      <c r="F264" s="19" t="s">
        <v>364</v>
      </c>
      <c r="G264" s="19">
        <v>11.6</v>
      </c>
      <c r="H264" s="34">
        <v>180</v>
      </c>
      <c r="I264" s="19" t="s">
        <v>708</v>
      </c>
      <c r="J264" s="19" t="s">
        <v>709</v>
      </c>
      <c r="K264" s="34"/>
      <c r="L264" s="36">
        <f>ACOS((SIN(I263*PI()/180)*SIN(I264*PI()/180)+COS(I263*PI()/180)*COS(I264*PI()/180)*COS(J264*PI()/180-J263*PI()/180)))*3443.8985*1.852</f>
        <v>9.5041096538305277E-5</v>
      </c>
      <c r="M264" s="37"/>
      <c r="N264" s="38" t="s">
        <v>1543</v>
      </c>
      <c r="O264" s="38" t="s">
        <v>1530</v>
      </c>
      <c r="P264" s="39">
        <f>SUM(L263:L266)</f>
        <v>122.15606148812384</v>
      </c>
      <c r="Q264" s="39">
        <f>AVERAGE(G263:G266)</f>
        <v>11.6</v>
      </c>
      <c r="R264" s="46">
        <f>(C263 - C266)*24</f>
        <v>5.1000000000349246</v>
      </c>
      <c r="S264" s="6"/>
      <c r="T264" s="6"/>
      <c r="U264" s="52" t="s">
        <v>1498</v>
      </c>
      <c r="V264" s="52" t="s">
        <v>1512</v>
      </c>
      <c r="W264" s="52" t="s">
        <v>1513</v>
      </c>
      <c r="X264" s="6"/>
      <c r="Y264" s="6"/>
      <c r="Z264" s="6"/>
      <c r="AA264" s="6"/>
      <c r="AB264" s="6"/>
    </row>
    <row r="265" spans="1:28" ht="15">
      <c r="A265" s="20" t="s">
        <v>10</v>
      </c>
      <c r="B265" s="32" t="s">
        <v>28</v>
      </c>
      <c r="C265" s="33">
        <v>44238.968055555553</v>
      </c>
      <c r="D265" s="19" t="s">
        <v>710</v>
      </c>
      <c r="E265" s="19" t="s">
        <v>13</v>
      </c>
      <c r="F265" s="19" t="s">
        <v>364</v>
      </c>
      <c r="G265" s="19">
        <v>11.6</v>
      </c>
      <c r="H265" s="34">
        <v>251</v>
      </c>
      <c r="I265" s="19" t="s">
        <v>711</v>
      </c>
      <c r="J265" s="19" t="s">
        <v>712</v>
      </c>
      <c r="K265" s="34"/>
      <c r="L265" s="36">
        <f>ACOS((SIN(I264*PI()/180)*SIN(I265*PI()/180)+COS(I264*PI()/180)*COS(I265*PI()/180)*COS(J265*PI()/180-J264*PI()/180)))*3443.8985*1.852</f>
        <v>47.077350629279351</v>
      </c>
      <c r="M265" s="37"/>
      <c r="N265" s="37"/>
      <c r="O265" s="37"/>
      <c r="P265" s="37"/>
      <c r="Q265" s="37"/>
      <c r="R265" s="41"/>
      <c r="S265" s="6"/>
      <c r="T265" s="6"/>
      <c r="U265" s="53">
        <f>P264</f>
        <v>122.15606148812384</v>
      </c>
      <c r="V265" s="53">
        <f>R264</f>
        <v>5.1000000000349246</v>
      </c>
      <c r="W265" s="53"/>
      <c r="X265" s="6"/>
      <c r="Y265" s="6"/>
      <c r="Z265" s="6"/>
      <c r="AA265" s="6"/>
      <c r="AB265" s="6"/>
    </row>
    <row r="266" spans="1:28" ht="15.75" thickBot="1">
      <c r="A266" s="20" t="s">
        <v>10</v>
      </c>
      <c r="B266" s="42" t="s">
        <v>271</v>
      </c>
      <c r="C266" s="43">
        <v>44238.894444444442</v>
      </c>
      <c r="D266" s="47" t="s">
        <v>713</v>
      </c>
      <c r="E266" s="47" t="s">
        <v>13</v>
      </c>
      <c r="F266" s="47" t="s">
        <v>364</v>
      </c>
      <c r="G266" s="47" t="s">
        <v>25</v>
      </c>
      <c r="H266" s="48"/>
      <c r="I266" s="73" t="s">
        <v>724</v>
      </c>
      <c r="J266" s="73" t="s">
        <v>725</v>
      </c>
      <c r="K266" s="48"/>
      <c r="L266" s="49">
        <f>ACOS((SIN(I265*PI()/180)*SIN(I266*PI()/180)+COS(I265*PI()/180)*COS(I266*PI()/180)*COS(J266*PI()/180-J265*PI()/180)))*3443.8985*1.852</f>
        <v>31.826333468249182</v>
      </c>
      <c r="M266" s="50"/>
      <c r="N266" s="50"/>
      <c r="O266" s="50"/>
      <c r="P266" s="50"/>
      <c r="Q266" s="50"/>
      <c r="R266" s="51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ht="15">
      <c r="A267" s="20" t="s">
        <v>10</v>
      </c>
      <c r="B267" s="24" t="s">
        <v>272</v>
      </c>
      <c r="C267" s="25">
        <v>44238.890972222223</v>
      </c>
      <c r="D267" s="26" t="s">
        <v>714</v>
      </c>
      <c r="E267" s="26" t="s">
        <v>13</v>
      </c>
      <c r="F267" s="26" t="s">
        <v>364</v>
      </c>
      <c r="G267" s="26" t="s">
        <v>25</v>
      </c>
      <c r="H267" s="27"/>
      <c r="I267" s="26" t="s">
        <v>25</v>
      </c>
      <c r="J267" s="26" t="s">
        <v>25</v>
      </c>
      <c r="K267" s="27"/>
      <c r="L267" s="5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ht="15">
      <c r="A268" s="20" t="s">
        <v>10</v>
      </c>
      <c r="B268" s="32" t="s">
        <v>155</v>
      </c>
      <c r="C268" s="33">
        <v>44238.888194444444</v>
      </c>
      <c r="D268" s="19" t="s">
        <v>715</v>
      </c>
      <c r="E268" s="19" t="s">
        <v>13</v>
      </c>
      <c r="F268" s="19" t="s">
        <v>364</v>
      </c>
      <c r="G268" s="19" t="s">
        <v>716</v>
      </c>
      <c r="H268" s="34">
        <v>170</v>
      </c>
      <c r="I268" s="19" t="s">
        <v>717</v>
      </c>
      <c r="J268" s="19" t="s">
        <v>718</v>
      </c>
      <c r="K268" s="34"/>
      <c r="L268" s="57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ht="15">
      <c r="A269" s="20" t="s">
        <v>10</v>
      </c>
      <c r="B269" s="32" t="s">
        <v>21</v>
      </c>
      <c r="C269" s="33">
        <v>44238.886805555558</v>
      </c>
      <c r="D269" s="19" t="s">
        <v>273</v>
      </c>
      <c r="E269" s="19" t="s">
        <v>13</v>
      </c>
      <c r="F269" s="19" t="s">
        <v>364</v>
      </c>
      <c r="G269" s="19" t="s">
        <v>15</v>
      </c>
      <c r="H269" s="34">
        <v>70</v>
      </c>
      <c r="I269" s="19" t="s">
        <v>719</v>
      </c>
      <c r="J269" s="19" t="s">
        <v>720</v>
      </c>
      <c r="K269" s="34"/>
      <c r="L269" s="57">
        <f t="shared" ref="L269:L328" si="4">ACOS((SIN(I268*PI()/180)*SIN(I269*PI()/180)+COS(I268*PI()/180)*COS(I269*PI()/180)*COS(J269*PI()/180-J268*PI()/180)))*3443.8985*1.852</f>
        <v>3.397117664051711E-2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ht="15">
      <c r="A270" s="20" t="s">
        <v>10</v>
      </c>
      <c r="B270" s="32" t="s">
        <v>11</v>
      </c>
      <c r="C270" s="33">
        <v>44238.467361111114</v>
      </c>
      <c r="D270" s="19" t="s">
        <v>721</v>
      </c>
      <c r="E270" s="19" t="s">
        <v>13</v>
      </c>
      <c r="F270" s="19" t="s">
        <v>364</v>
      </c>
      <c r="G270" s="19" t="s">
        <v>15</v>
      </c>
      <c r="H270" s="34">
        <v>254</v>
      </c>
      <c r="I270" s="19" t="s">
        <v>722</v>
      </c>
      <c r="J270" s="19" t="s">
        <v>723</v>
      </c>
      <c r="K270" s="34"/>
      <c r="L270" s="57">
        <f t="shared" si="4"/>
        <v>3.3440422861649366E-3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 ht="15">
      <c r="A271" s="20" t="s">
        <v>10</v>
      </c>
      <c r="B271" s="32" t="s">
        <v>21</v>
      </c>
      <c r="C271" s="33">
        <v>44238.300694444442</v>
      </c>
      <c r="D271" s="19" t="s">
        <v>22</v>
      </c>
      <c r="E271" s="19" t="s">
        <v>13</v>
      </c>
      <c r="F271" s="19" t="s">
        <v>364</v>
      </c>
      <c r="G271" s="19" t="s">
        <v>96</v>
      </c>
      <c r="H271" s="34">
        <v>254</v>
      </c>
      <c r="I271" s="19" t="s">
        <v>724</v>
      </c>
      <c r="J271" s="19" t="s">
        <v>725</v>
      </c>
      <c r="K271" s="34"/>
      <c r="L271" s="57">
        <f t="shared" si="4"/>
        <v>1.450739376285102E-3</v>
      </c>
      <c r="M271" s="6" t="s">
        <v>1543</v>
      </c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 ht="15">
      <c r="A272" s="20" t="s">
        <v>10</v>
      </c>
      <c r="B272" s="32" t="s">
        <v>26</v>
      </c>
      <c r="C272" s="33">
        <v>44238.292361111111</v>
      </c>
      <c r="D272" s="19" t="s">
        <v>714</v>
      </c>
      <c r="E272" s="19" t="s">
        <v>13</v>
      </c>
      <c r="F272" s="19" t="s">
        <v>364</v>
      </c>
      <c r="G272" s="19" t="s">
        <v>25</v>
      </c>
      <c r="H272" s="34"/>
      <c r="I272" s="19" t="s">
        <v>25</v>
      </c>
      <c r="J272" s="19" t="s">
        <v>25</v>
      </c>
      <c r="K272" s="34"/>
      <c r="L272" s="57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ht="15.75" thickBot="1">
      <c r="A273" s="20" t="s">
        <v>10</v>
      </c>
      <c r="B273" s="42" t="s">
        <v>159</v>
      </c>
      <c r="C273" s="43">
        <v>44238.290972222225</v>
      </c>
      <c r="D273" s="47" t="s">
        <v>726</v>
      </c>
      <c r="E273" s="47" t="s">
        <v>13</v>
      </c>
      <c r="F273" s="47" t="s">
        <v>364</v>
      </c>
      <c r="G273" s="47" t="s">
        <v>96</v>
      </c>
      <c r="H273" s="48">
        <v>254</v>
      </c>
      <c r="I273" s="47" t="s">
        <v>724</v>
      </c>
      <c r="J273" s="47" t="s">
        <v>725</v>
      </c>
      <c r="K273" s="48"/>
      <c r="L273" s="60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ht="15.75" thickBot="1">
      <c r="A274" s="20" t="s">
        <v>10</v>
      </c>
      <c r="B274" s="24" t="s">
        <v>23</v>
      </c>
      <c r="C274" s="25">
        <v>44238.284722222219</v>
      </c>
      <c r="D274" s="26" t="s">
        <v>713</v>
      </c>
      <c r="E274" s="26" t="s">
        <v>13</v>
      </c>
      <c r="F274" s="26" t="s">
        <v>364</v>
      </c>
      <c r="G274" s="26" t="s">
        <v>25</v>
      </c>
      <c r="H274" s="27"/>
      <c r="I274" s="74" t="s">
        <v>724</v>
      </c>
      <c r="J274" s="74" t="s">
        <v>725</v>
      </c>
      <c r="K274" s="27"/>
      <c r="L274" s="28"/>
      <c r="M274" s="29"/>
      <c r="N274" s="30" t="s">
        <v>271</v>
      </c>
      <c r="O274" s="30" t="s">
        <v>23</v>
      </c>
      <c r="P274" s="30" t="s">
        <v>1498</v>
      </c>
      <c r="Q274" s="30" t="s">
        <v>1495</v>
      </c>
      <c r="R274" s="31" t="s">
        <v>1499</v>
      </c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ht="15">
      <c r="A275" s="20" t="s">
        <v>10</v>
      </c>
      <c r="B275" s="32" t="s">
        <v>28</v>
      </c>
      <c r="C275" s="33">
        <v>44237.967361111114</v>
      </c>
      <c r="D275" s="19" t="s">
        <v>727</v>
      </c>
      <c r="E275" s="19" t="s">
        <v>13</v>
      </c>
      <c r="F275" s="19" t="s">
        <v>364</v>
      </c>
      <c r="G275" s="19">
        <v>9.6</v>
      </c>
      <c r="H275" s="34">
        <v>263</v>
      </c>
      <c r="I275" s="19" t="s">
        <v>728</v>
      </c>
      <c r="J275" s="19" t="s">
        <v>729</v>
      </c>
      <c r="K275" s="34"/>
      <c r="L275" s="36">
        <f t="shared" si="4"/>
        <v>87.182901282663323</v>
      </c>
      <c r="M275" s="37"/>
      <c r="N275" s="38" t="s">
        <v>1524</v>
      </c>
      <c r="O275" s="38" t="s">
        <v>1543</v>
      </c>
      <c r="P275" s="39">
        <f>SUM(L274:L290)</f>
        <v>150.18832412234445</v>
      </c>
      <c r="Q275" s="39">
        <f>AVERAGE(G275:G280,G287:G289)</f>
        <v>10.733333333333331</v>
      </c>
      <c r="R275" s="46">
        <f>(C274 - C290)*24</f>
        <v>12.199999999953434</v>
      </c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ht="15">
      <c r="A276" s="20" t="s">
        <v>10</v>
      </c>
      <c r="B276" s="32" t="s">
        <v>33</v>
      </c>
      <c r="C276" s="33">
        <v>44237.965277777781</v>
      </c>
      <c r="D276" s="19" t="s">
        <v>730</v>
      </c>
      <c r="E276" s="19" t="s">
        <v>13</v>
      </c>
      <c r="F276" s="19" t="s">
        <v>364</v>
      </c>
      <c r="G276" s="19">
        <v>9.4</v>
      </c>
      <c r="H276" s="34">
        <v>260</v>
      </c>
      <c r="I276" s="19" t="s">
        <v>731</v>
      </c>
      <c r="J276" s="19" t="s">
        <v>732</v>
      </c>
      <c r="K276" s="34"/>
      <c r="L276" s="36">
        <f t="shared" si="4"/>
        <v>1.0727242645512405</v>
      </c>
      <c r="M276" s="37"/>
      <c r="N276" s="37"/>
      <c r="O276" s="37"/>
      <c r="P276" s="37"/>
      <c r="Q276" s="37"/>
      <c r="R276" s="41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ht="15">
      <c r="A277" s="20" t="s">
        <v>10</v>
      </c>
      <c r="B277" s="32" t="s">
        <v>33</v>
      </c>
      <c r="C277" s="33">
        <v>44237.9375</v>
      </c>
      <c r="D277" s="19" t="s">
        <v>733</v>
      </c>
      <c r="E277" s="19" t="s">
        <v>13</v>
      </c>
      <c r="F277" s="19" t="s">
        <v>14</v>
      </c>
      <c r="G277" s="19">
        <v>9.5</v>
      </c>
      <c r="H277" s="34">
        <v>230</v>
      </c>
      <c r="I277" s="19" t="s">
        <v>735</v>
      </c>
      <c r="J277" s="19" t="s">
        <v>736</v>
      </c>
      <c r="K277" s="34"/>
      <c r="L277" s="36">
        <f t="shared" si="4"/>
        <v>11.559751136468225</v>
      </c>
      <c r="M277" s="37"/>
      <c r="N277" s="37"/>
      <c r="O277" s="37"/>
      <c r="P277" s="37"/>
      <c r="Q277" s="37"/>
      <c r="R277" s="41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ht="15">
      <c r="A278" s="20" t="s">
        <v>10</v>
      </c>
      <c r="B278" s="32" t="s">
        <v>33</v>
      </c>
      <c r="C278" s="33">
        <v>44237.904861111114</v>
      </c>
      <c r="D278" s="19" t="s">
        <v>737</v>
      </c>
      <c r="E278" s="19" t="s">
        <v>13</v>
      </c>
      <c r="F278" s="19" t="s">
        <v>14</v>
      </c>
      <c r="G278" s="19">
        <v>9.3000000000000007</v>
      </c>
      <c r="H278" s="34">
        <v>261</v>
      </c>
      <c r="I278" s="19" t="s">
        <v>738</v>
      </c>
      <c r="J278" s="19" t="s">
        <v>739</v>
      </c>
      <c r="K278" s="34"/>
      <c r="L278" s="36">
        <f t="shared" si="4"/>
        <v>13.312087779751106</v>
      </c>
      <c r="M278" s="37"/>
      <c r="N278" s="37"/>
      <c r="O278" s="37"/>
      <c r="P278" s="37"/>
      <c r="Q278" s="37"/>
      <c r="R278" s="41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ht="15">
      <c r="A279" s="20" t="s">
        <v>10</v>
      </c>
      <c r="B279" s="32" t="s">
        <v>33</v>
      </c>
      <c r="C279" s="33">
        <v>44237.888194444444</v>
      </c>
      <c r="D279" s="19" t="s">
        <v>740</v>
      </c>
      <c r="E279" s="19" t="s">
        <v>13</v>
      </c>
      <c r="F279" s="19" t="s">
        <v>14</v>
      </c>
      <c r="G279" s="19">
        <v>10.5</v>
      </c>
      <c r="H279" s="34">
        <v>291</v>
      </c>
      <c r="I279" s="19" t="s">
        <v>741</v>
      </c>
      <c r="J279" s="19" t="s">
        <v>742</v>
      </c>
      <c r="K279" s="34"/>
      <c r="L279" s="36">
        <f t="shared" si="4"/>
        <v>7.4064273440357411</v>
      </c>
      <c r="M279" s="37"/>
      <c r="N279" s="37"/>
      <c r="O279" s="37"/>
      <c r="P279" s="37"/>
      <c r="Q279" s="37"/>
      <c r="R279" s="41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ht="15">
      <c r="A280" s="20" t="s">
        <v>10</v>
      </c>
      <c r="B280" s="32" t="s">
        <v>33</v>
      </c>
      <c r="C280" s="33">
        <v>44237.880555555559</v>
      </c>
      <c r="D280" s="19" t="s">
        <v>743</v>
      </c>
      <c r="E280" s="19" t="s">
        <v>13</v>
      </c>
      <c r="F280" s="19" t="s">
        <v>14</v>
      </c>
      <c r="G280" s="19">
        <v>12.4</v>
      </c>
      <c r="H280" s="34">
        <v>257</v>
      </c>
      <c r="I280" s="19" t="s">
        <v>744</v>
      </c>
      <c r="J280" s="19" t="s">
        <v>745</v>
      </c>
      <c r="K280" s="34"/>
      <c r="L280" s="36">
        <f t="shared" si="4"/>
        <v>3.5099699438142613</v>
      </c>
      <c r="M280" s="37"/>
      <c r="N280" s="37"/>
      <c r="O280" s="37"/>
      <c r="P280" s="37"/>
      <c r="Q280" s="37"/>
      <c r="R280" s="41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ht="15">
      <c r="A281" s="20" t="s">
        <v>10</v>
      </c>
      <c r="B281" s="32" t="s">
        <v>49</v>
      </c>
      <c r="C281" s="33">
        <v>44237.873611111114</v>
      </c>
      <c r="D281" s="19" t="s">
        <v>746</v>
      </c>
      <c r="E281" s="19" t="s">
        <v>13</v>
      </c>
      <c r="F281" s="19" t="s">
        <v>14</v>
      </c>
      <c r="G281" s="19">
        <v>5.5</v>
      </c>
      <c r="H281" s="34">
        <v>111</v>
      </c>
      <c r="I281" s="19" t="s">
        <v>748</v>
      </c>
      <c r="J281" s="19" t="s">
        <v>749</v>
      </c>
      <c r="K281" s="34"/>
      <c r="L281" s="36">
        <f t="shared" si="4"/>
        <v>2.9151853775778993</v>
      </c>
      <c r="M281" s="37"/>
      <c r="N281" s="37"/>
      <c r="O281" s="37"/>
      <c r="P281" s="37"/>
      <c r="Q281" s="37"/>
      <c r="R281" s="41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ht="15">
      <c r="A282" s="20" t="s">
        <v>10</v>
      </c>
      <c r="B282" s="32" t="s">
        <v>155</v>
      </c>
      <c r="C282" s="33">
        <v>44237.870833333334</v>
      </c>
      <c r="D282" s="19" t="s">
        <v>750</v>
      </c>
      <c r="E282" s="19" t="s">
        <v>13</v>
      </c>
      <c r="F282" s="19" t="s">
        <v>14</v>
      </c>
      <c r="G282" s="19">
        <v>0.1</v>
      </c>
      <c r="H282" s="34">
        <v>31</v>
      </c>
      <c r="I282" s="19" t="s">
        <v>751</v>
      </c>
      <c r="J282" s="19" t="s">
        <v>752</v>
      </c>
      <c r="K282" s="34"/>
      <c r="L282" s="36">
        <f t="shared" si="4"/>
        <v>0.18640675111128421</v>
      </c>
      <c r="M282" s="37"/>
      <c r="N282" s="37"/>
      <c r="O282" s="37"/>
      <c r="P282" s="37"/>
      <c r="Q282" s="37"/>
      <c r="R282" s="41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ht="15">
      <c r="A283" s="20" t="s">
        <v>10</v>
      </c>
      <c r="B283" s="32" t="s">
        <v>155</v>
      </c>
      <c r="C283" s="33">
        <v>44237.852083333331</v>
      </c>
      <c r="D283" s="19" t="s">
        <v>753</v>
      </c>
      <c r="E283" s="19" t="s">
        <v>13</v>
      </c>
      <c r="F283" s="19" t="s">
        <v>14</v>
      </c>
      <c r="G283" s="19">
        <v>0</v>
      </c>
      <c r="H283" s="34">
        <v>72</v>
      </c>
      <c r="I283" s="19" t="s">
        <v>754</v>
      </c>
      <c r="J283" s="19" t="s">
        <v>755</v>
      </c>
      <c r="K283" s="34"/>
      <c r="L283" s="36">
        <f t="shared" si="4"/>
        <v>4.1230751229942141E-3</v>
      </c>
      <c r="M283" s="37"/>
      <c r="N283" s="37"/>
      <c r="O283" s="37"/>
      <c r="P283" s="37"/>
      <c r="Q283" s="37"/>
      <c r="R283" s="41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ht="15">
      <c r="A284" s="20" t="s">
        <v>10</v>
      </c>
      <c r="B284" s="32" t="s">
        <v>159</v>
      </c>
      <c r="C284" s="33">
        <v>44237.824999999997</v>
      </c>
      <c r="D284" s="19" t="s">
        <v>756</v>
      </c>
      <c r="E284" s="19" t="s">
        <v>13</v>
      </c>
      <c r="F284" s="19" t="s">
        <v>14</v>
      </c>
      <c r="G284" s="19">
        <v>0.1</v>
      </c>
      <c r="H284" s="34">
        <v>236</v>
      </c>
      <c r="I284" s="19" t="s">
        <v>757</v>
      </c>
      <c r="J284" s="19" t="s">
        <v>758</v>
      </c>
      <c r="K284" s="34"/>
      <c r="L284" s="36">
        <f t="shared" si="4"/>
        <v>9.2214355514277733E-3</v>
      </c>
      <c r="M284" s="37"/>
      <c r="N284" s="37"/>
      <c r="O284" s="37"/>
      <c r="P284" s="37"/>
      <c r="Q284" s="37"/>
      <c r="R284" s="41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ht="15">
      <c r="A285" s="20" t="s">
        <v>10</v>
      </c>
      <c r="B285" s="32" t="s">
        <v>159</v>
      </c>
      <c r="C285" s="33">
        <v>44237.824305555558</v>
      </c>
      <c r="D285" s="19" t="s">
        <v>759</v>
      </c>
      <c r="E285" s="19" t="s">
        <v>13</v>
      </c>
      <c r="F285" s="19" t="s">
        <v>14</v>
      </c>
      <c r="G285" s="19">
        <v>0.1</v>
      </c>
      <c r="H285" s="34">
        <v>72</v>
      </c>
      <c r="I285" s="19" t="s">
        <v>754</v>
      </c>
      <c r="J285" s="19" t="s">
        <v>760</v>
      </c>
      <c r="K285" s="34"/>
      <c r="L285" s="36">
        <f t="shared" si="4"/>
        <v>1.0020414975765342E-2</v>
      </c>
      <c r="M285" s="37"/>
      <c r="N285" s="37"/>
      <c r="O285" s="37"/>
      <c r="P285" s="37"/>
      <c r="Q285" s="37"/>
      <c r="R285" s="41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ht="15">
      <c r="A286" s="20" t="s">
        <v>10</v>
      </c>
      <c r="B286" s="32" t="s">
        <v>58</v>
      </c>
      <c r="C286" s="33">
        <v>44237.824305555558</v>
      </c>
      <c r="D286" s="19" t="s">
        <v>761</v>
      </c>
      <c r="E286" s="19" t="s">
        <v>13</v>
      </c>
      <c r="F286" s="19" t="s">
        <v>14</v>
      </c>
      <c r="G286" s="19">
        <v>0.3</v>
      </c>
      <c r="H286" s="34">
        <v>111</v>
      </c>
      <c r="I286" s="19" t="s">
        <v>762</v>
      </c>
      <c r="J286" s="19" t="s">
        <v>763</v>
      </c>
      <c r="K286" s="34"/>
      <c r="L286" s="36">
        <f t="shared" si="4"/>
        <v>1.4953199640597024E-2</v>
      </c>
      <c r="M286" s="37"/>
      <c r="N286" s="37"/>
      <c r="O286" s="37"/>
      <c r="P286" s="37"/>
      <c r="Q286" s="37"/>
      <c r="R286" s="41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ht="15">
      <c r="A287" s="20" t="s">
        <v>10</v>
      </c>
      <c r="B287" s="32" t="s">
        <v>359</v>
      </c>
      <c r="C287" s="33">
        <v>44237.808333333334</v>
      </c>
      <c r="D287" s="19" t="s">
        <v>396</v>
      </c>
      <c r="E287" s="19" t="s">
        <v>13</v>
      </c>
      <c r="F287" s="19" t="s">
        <v>14</v>
      </c>
      <c r="G287" s="19">
        <v>12</v>
      </c>
      <c r="H287" s="34">
        <v>25</v>
      </c>
      <c r="I287" s="19" t="s">
        <v>764</v>
      </c>
      <c r="J287" s="19" t="s">
        <v>765</v>
      </c>
      <c r="K287" s="34"/>
      <c r="L287" s="36">
        <f t="shared" si="4"/>
        <v>6.8147422105030842</v>
      </c>
      <c r="M287" s="37"/>
      <c r="N287" s="37"/>
      <c r="O287" s="37"/>
      <c r="P287" s="37"/>
      <c r="Q287" s="37"/>
      <c r="R287" s="41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ht="15">
      <c r="A288" s="20" t="s">
        <v>10</v>
      </c>
      <c r="B288" s="32" t="s">
        <v>33</v>
      </c>
      <c r="C288" s="33">
        <v>44237.79791666667</v>
      </c>
      <c r="D288" s="19" t="s">
        <v>766</v>
      </c>
      <c r="E288" s="19" t="s">
        <v>13</v>
      </c>
      <c r="F288" s="19" t="s">
        <v>364</v>
      </c>
      <c r="G288" s="19">
        <v>12.1</v>
      </c>
      <c r="H288" s="34">
        <v>35</v>
      </c>
      <c r="I288" s="19" t="s">
        <v>767</v>
      </c>
      <c r="J288" s="19" t="s">
        <v>768</v>
      </c>
      <c r="K288" s="34"/>
      <c r="L288" s="36">
        <f t="shared" si="4"/>
        <v>5.8936854099342693</v>
      </c>
      <c r="M288" s="37"/>
      <c r="N288" s="37"/>
      <c r="O288" s="37"/>
      <c r="P288" s="37"/>
      <c r="Q288" s="37"/>
      <c r="R288" s="41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5">
      <c r="A289" s="20" t="s">
        <v>10</v>
      </c>
      <c r="B289" s="32" t="s">
        <v>33</v>
      </c>
      <c r="C289" s="33">
        <v>44237.786111111112</v>
      </c>
      <c r="D289" s="19" t="s">
        <v>769</v>
      </c>
      <c r="E289" s="19" t="s">
        <v>13</v>
      </c>
      <c r="F289" s="19" t="s">
        <v>364</v>
      </c>
      <c r="G289" s="19">
        <v>11.8</v>
      </c>
      <c r="H289" s="34">
        <v>65</v>
      </c>
      <c r="I289" s="19" t="s">
        <v>770</v>
      </c>
      <c r="J289" s="19" t="s">
        <v>771</v>
      </c>
      <c r="K289" s="34"/>
      <c r="L289" s="36">
        <f t="shared" si="4"/>
        <v>6.0781202027598447</v>
      </c>
      <c r="M289" s="37"/>
      <c r="N289" s="37"/>
      <c r="O289" s="37"/>
      <c r="P289" s="37"/>
      <c r="Q289" s="37"/>
      <c r="R289" s="41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ht="15.75" thickBot="1">
      <c r="A290" s="20" t="s">
        <v>10</v>
      </c>
      <c r="B290" s="42" t="s">
        <v>49</v>
      </c>
      <c r="C290" s="43">
        <v>44237.776388888888</v>
      </c>
      <c r="D290" s="47" t="s">
        <v>772</v>
      </c>
      <c r="E290" s="47" t="s">
        <v>13</v>
      </c>
      <c r="F290" s="47" t="s">
        <v>364</v>
      </c>
      <c r="G290" s="47">
        <v>6</v>
      </c>
      <c r="H290" s="48">
        <v>100</v>
      </c>
      <c r="I290" s="47" t="s">
        <v>773</v>
      </c>
      <c r="J290" s="47" t="s">
        <v>774</v>
      </c>
      <c r="K290" s="48"/>
      <c r="L290" s="49">
        <f t="shared" si="4"/>
        <v>4.2180042938833981</v>
      </c>
      <c r="M290" s="50"/>
      <c r="N290" s="50"/>
      <c r="O290" s="50"/>
      <c r="P290" s="50"/>
      <c r="Q290" s="50"/>
      <c r="R290" s="51"/>
      <c r="S290" s="44" t="s">
        <v>1510</v>
      </c>
      <c r="T290" s="6"/>
      <c r="U290" s="6"/>
      <c r="V290" s="6"/>
      <c r="W290" s="6"/>
      <c r="X290" s="6"/>
      <c r="Y290" s="6"/>
      <c r="Z290" s="6"/>
      <c r="AA290" s="6"/>
      <c r="AB290" s="6"/>
    </row>
    <row r="291" spans="1:28" ht="15">
      <c r="A291" s="20" t="s">
        <v>10</v>
      </c>
      <c r="B291" s="24" t="s">
        <v>58</v>
      </c>
      <c r="C291" s="25">
        <v>44237.736805555556</v>
      </c>
      <c r="D291" s="26" t="s">
        <v>775</v>
      </c>
      <c r="E291" s="26" t="s">
        <v>13</v>
      </c>
      <c r="F291" s="26" t="s">
        <v>364</v>
      </c>
      <c r="G291" s="26">
        <v>0</v>
      </c>
      <c r="H291" s="27">
        <v>185</v>
      </c>
      <c r="I291" s="26" t="s">
        <v>776</v>
      </c>
      <c r="J291" s="26" t="s">
        <v>777</v>
      </c>
      <c r="K291" s="27"/>
      <c r="L291" s="28">
        <f t="shared" si="4"/>
        <v>0.25795683879540454</v>
      </c>
      <c r="M291" s="29"/>
      <c r="N291" s="30" t="s">
        <v>271</v>
      </c>
      <c r="O291" s="30" t="s">
        <v>23</v>
      </c>
      <c r="P291" s="30" t="s">
        <v>1498</v>
      </c>
      <c r="Q291" s="30" t="s">
        <v>1495</v>
      </c>
      <c r="R291" s="31" t="s">
        <v>1499</v>
      </c>
      <c r="S291" s="45">
        <f>(C290 - C291)*24</f>
        <v>0.94999999995343387</v>
      </c>
      <c r="T291" s="6"/>
      <c r="U291" s="392" t="s">
        <v>1569</v>
      </c>
      <c r="V291" s="392"/>
      <c r="W291" s="392"/>
      <c r="X291" s="6"/>
      <c r="Y291" s="6"/>
      <c r="Z291" s="6"/>
      <c r="AA291" s="6"/>
      <c r="AB291" s="6"/>
    </row>
    <row r="292" spans="1:28" ht="15">
      <c r="A292" s="20" t="s">
        <v>10</v>
      </c>
      <c r="B292" s="32" t="s">
        <v>33</v>
      </c>
      <c r="C292" s="33">
        <v>44237.731944444444</v>
      </c>
      <c r="D292" s="19" t="s">
        <v>778</v>
      </c>
      <c r="E292" s="19" t="s">
        <v>13</v>
      </c>
      <c r="F292" s="19" t="s">
        <v>364</v>
      </c>
      <c r="G292" s="19">
        <v>7.2</v>
      </c>
      <c r="H292" s="34">
        <v>102</v>
      </c>
      <c r="I292" s="19" t="s">
        <v>779</v>
      </c>
      <c r="J292" s="19" t="s">
        <v>780</v>
      </c>
      <c r="K292" s="34"/>
      <c r="L292" s="36">
        <f t="shared" si="4"/>
        <v>0.67890026710081364</v>
      </c>
      <c r="M292" s="37"/>
      <c r="N292" s="38" t="s">
        <v>1525</v>
      </c>
      <c r="O292" s="38" t="s">
        <v>1524</v>
      </c>
      <c r="P292" s="39">
        <f>SUM(L291:L293)</f>
        <v>3.6562664605896082</v>
      </c>
      <c r="Q292" s="39">
        <f>AVERAGE(G292:G292)</f>
        <v>7.2</v>
      </c>
      <c r="R292" s="46">
        <f>(C291 - C293)*24</f>
        <v>0.29999999993015081</v>
      </c>
      <c r="S292" s="6"/>
      <c r="T292" s="6"/>
      <c r="U292" s="52" t="s">
        <v>1498</v>
      </c>
      <c r="V292" s="52" t="s">
        <v>1512</v>
      </c>
      <c r="W292" s="52" t="s">
        <v>1513</v>
      </c>
      <c r="X292" s="6"/>
      <c r="Y292" s="6"/>
      <c r="Z292" s="6"/>
      <c r="AA292" s="6"/>
      <c r="AB292" s="6"/>
    </row>
    <row r="293" spans="1:28" ht="15.75" thickBot="1">
      <c r="A293" s="20" t="s">
        <v>10</v>
      </c>
      <c r="B293" s="42" t="s">
        <v>49</v>
      </c>
      <c r="C293" s="43">
        <v>44237.724305555559</v>
      </c>
      <c r="D293" s="47" t="s">
        <v>781</v>
      </c>
      <c r="E293" s="47" t="s">
        <v>13</v>
      </c>
      <c r="F293" s="47" t="s">
        <v>364</v>
      </c>
      <c r="G293" s="47">
        <v>4.9000000000000004</v>
      </c>
      <c r="H293" s="48">
        <v>265</v>
      </c>
      <c r="I293" s="47" t="s">
        <v>782</v>
      </c>
      <c r="J293" s="47" t="s">
        <v>783</v>
      </c>
      <c r="K293" s="48"/>
      <c r="L293" s="49">
        <f t="shared" si="4"/>
        <v>2.71940935469339</v>
      </c>
      <c r="M293" s="50"/>
      <c r="N293" s="50"/>
      <c r="O293" s="50"/>
      <c r="P293" s="50"/>
      <c r="Q293" s="50"/>
      <c r="R293" s="51"/>
      <c r="S293" s="44" t="s">
        <v>1510</v>
      </c>
      <c r="T293" s="6"/>
      <c r="U293" s="53">
        <f>SUM(P275,P292,P295,P305,P318)</f>
        <v>649.16824425514824</v>
      </c>
      <c r="V293" s="53">
        <f>SUM(R275,R292,R295,R305,R318)</f>
        <v>55.433333333116025</v>
      </c>
      <c r="W293" s="53">
        <f>SUM(S291,S294,S304,S317)</f>
        <v>3.4500000000698492</v>
      </c>
      <c r="X293" s="6"/>
      <c r="Y293" s="6"/>
      <c r="Z293" s="6"/>
      <c r="AA293" s="6"/>
      <c r="AB293" s="6"/>
    </row>
    <row r="294" spans="1:28" ht="15">
      <c r="A294" s="20" t="s">
        <v>10</v>
      </c>
      <c r="B294" s="24" t="s">
        <v>58</v>
      </c>
      <c r="C294" s="25">
        <v>44237.677083333336</v>
      </c>
      <c r="D294" s="26" t="s">
        <v>784</v>
      </c>
      <c r="E294" s="26" t="s">
        <v>13</v>
      </c>
      <c r="F294" s="26" t="s">
        <v>364</v>
      </c>
      <c r="G294" s="26">
        <v>0.9</v>
      </c>
      <c r="H294" s="27">
        <v>181</v>
      </c>
      <c r="I294" s="26" t="s">
        <v>431</v>
      </c>
      <c r="J294" s="26" t="s">
        <v>785</v>
      </c>
      <c r="K294" s="27"/>
      <c r="L294" s="28">
        <f t="shared" si="4"/>
        <v>0.3334867484798974</v>
      </c>
      <c r="M294" s="29"/>
      <c r="N294" s="30" t="s">
        <v>271</v>
      </c>
      <c r="O294" s="30" t="s">
        <v>23</v>
      </c>
      <c r="P294" s="30" t="s">
        <v>1498</v>
      </c>
      <c r="Q294" s="30" t="s">
        <v>1495</v>
      </c>
      <c r="R294" s="31" t="s">
        <v>1499</v>
      </c>
      <c r="S294" s="45">
        <f>(C293 - C294)*24</f>
        <v>1.1333333333604969</v>
      </c>
      <c r="T294" s="6"/>
      <c r="U294" s="6"/>
      <c r="V294" s="6"/>
      <c r="W294" s="6"/>
      <c r="X294" s="6"/>
      <c r="Y294" s="6"/>
      <c r="Z294" s="6"/>
      <c r="AA294" s="6"/>
      <c r="AB294" s="6"/>
    </row>
    <row r="295" spans="1:28" ht="15">
      <c r="A295" s="20" t="s">
        <v>10</v>
      </c>
      <c r="B295" s="32" t="s">
        <v>359</v>
      </c>
      <c r="C295" s="33">
        <v>44237.645833333336</v>
      </c>
      <c r="D295" s="19" t="s">
        <v>396</v>
      </c>
      <c r="E295" s="19" t="s">
        <v>13</v>
      </c>
      <c r="F295" s="19" t="s">
        <v>14</v>
      </c>
      <c r="G295" s="19">
        <v>11.9</v>
      </c>
      <c r="H295" s="34">
        <v>56</v>
      </c>
      <c r="I295" s="19" t="s">
        <v>786</v>
      </c>
      <c r="J295" s="19" t="s">
        <v>787</v>
      </c>
      <c r="K295" s="34"/>
      <c r="L295" s="36">
        <f t="shared" si="4"/>
        <v>10.061590067155992</v>
      </c>
      <c r="M295" s="37"/>
      <c r="N295" s="38" t="s">
        <v>1527</v>
      </c>
      <c r="O295" s="38" t="s">
        <v>1525</v>
      </c>
      <c r="P295" s="39">
        <f>SUM(L294:L303)</f>
        <v>88.353232819410607</v>
      </c>
      <c r="Q295" s="39">
        <f>AVERAGE(G295:G301)</f>
        <v>11.785714285714286</v>
      </c>
      <c r="R295" s="46">
        <f>(C294 - C303)*24</f>
        <v>5.0500000000465661</v>
      </c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ht="15">
      <c r="A296" s="20" t="s">
        <v>10</v>
      </c>
      <c r="B296" s="32" t="s">
        <v>33</v>
      </c>
      <c r="C296" s="33">
        <v>44237.577777777777</v>
      </c>
      <c r="D296" s="19" t="s">
        <v>769</v>
      </c>
      <c r="E296" s="19" t="s">
        <v>13</v>
      </c>
      <c r="F296" s="19" t="s">
        <v>364</v>
      </c>
      <c r="G296" s="19">
        <v>10.8</v>
      </c>
      <c r="H296" s="34">
        <v>65</v>
      </c>
      <c r="I296" s="19" t="s">
        <v>788</v>
      </c>
      <c r="J296" s="19" t="s">
        <v>789</v>
      </c>
      <c r="K296" s="34"/>
      <c r="L296" s="36">
        <f t="shared" si="4"/>
        <v>33.87331349820888</v>
      </c>
      <c r="M296" s="37"/>
      <c r="N296" s="37"/>
      <c r="O296" s="37"/>
      <c r="P296" s="37"/>
      <c r="Q296" s="37"/>
      <c r="R296" s="41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ht="15">
      <c r="A297" s="20" t="s">
        <v>10</v>
      </c>
      <c r="B297" s="32" t="s">
        <v>33</v>
      </c>
      <c r="C297" s="33">
        <v>44237.570138888892</v>
      </c>
      <c r="D297" s="19" t="s">
        <v>790</v>
      </c>
      <c r="E297" s="19" t="s">
        <v>13</v>
      </c>
      <c r="F297" s="19" t="s">
        <v>364</v>
      </c>
      <c r="G297" s="19">
        <v>10.8</v>
      </c>
      <c r="H297" s="34">
        <v>30</v>
      </c>
      <c r="I297" s="19" t="s">
        <v>791</v>
      </c>
      <c r="J297" s="19" t="s">
        <v>792</v>
      </c>
      <c r="K297" s="34"/>
      <c r="L297" s="36">
        <f t="shared" si="4"/>
        <v>3.3517625115775798</v>
      </c>
      <c r="M297" s="37"/>
      <c r="N297" s="37"/>
      <c r="O297" s="37"/>
      <c r="P297" s="37"/>
      <c r="Q297" s="37"/>
      <c r="R297" s="41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ht="15">
      <c r="A298" s="20" t="s">
        <v>10</v>
      </c>
      <c r="B298" s="32" t="s">
        <v>33</v>
      </c>
      <c r="C298" s="33">
        <v>44237.557638888888</v>
      </c>
      <c r="D298" s="19" t="s">
        <v>793</v>
      </c>
      <c r="E298" s="19" t="s">
        <v>13</v>
      </c>
      <c r="F298" s="19" t="s">
        <v>364</v>
      </c>
      <c r="G298" s="19">
        <v>11.7</v>
      </c>
      <c r="H298" s="34">
        <v>350</v>
      </c>
      <c r="I298" s="19" t="s">
        <v>794</v>
      </c>
      <c r="J298" s="19" t="s">
        <v>795</v>
      </c>
      <c r="K298" s="34"/>
      <c r="L298" s="36">
        <f t="shared" si="4"/>
        <v>6.3895737953988947</v>
      </c>
      <c r="M298" s="37"/>
      <c r="N298" s="37"/>
      <c r="O298" s="37"/>
      <c r="P298" s="37"/>
      <c r="Q298" s="37"/>
      <c r="R298" s="41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ht="15">
      <c r="A299" s="20" t="s">
        <v>10</v>
      </c>
      <c r="B299" s="32" t="s">
        <v>33</v>
      </c>
      <c r="C299" s="33">
        <v>44237.543055555558</v>
      </c>
      <c r="D299" s="19" t="s">
        <v>796</v>
      </c>
      <c r="E299" s="19" t="s">
        <v>13</v>
      </c>
      <c r="F299" s="19" t="s">
        <v>364</v>
      </c>
      <c r="G299" s="19">
        <v>12.5</v>
      </c>
      <c r="H299" s="34">
        <v>317</v>
      </c>
      <c r="I299" s="19" t="s">
        <v>797</v>
      </c>
      <c r="J299" s="19" t="s">
        <v>798</v>
      </c>
      <c r="K299" s="34"/>
      <c r="L299" s="36">
        <f t="shared" si="4"/>
        <v>7.958476951909895</v>
      </c>
      <c r="M299" s="37"/>
      <c r="N299" s="37"/>
      <c r="O299" s="37"/>
      <c r="P299" s="37"/>
      <c r="Q299" s="37"/>
      <c r="R299" s="41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5">
      <c r="A300" s="20" t="s">
        <v>10</v>
      </c>
      <c r="B300" s="32" t="s">
        <v>33</v>
      </c>
      <c r="C300" s="33">
        <v>44237.518055555556</v>
      </c>
      <c r="D300" s="19" t="s">
        <v>132</v>
      </c>
      <c r="E300" s="19" t="s">
        <v>13</v>
      </c>
      <c r="F300" s="19" t="s">
        <v>364</v>
      </c>
      <c r="G300" s="19">
        <v>12.5</v>
      </c>
      <c r="H300" s="34">
        <v>349</v>
      </c>
      <c r="I300" s="19" t="s">
        <v>799</v>
      </c>
      <c r="J300" s="19" t="s">
        <v>800</v>
      </c>
      <c r="K300" s="34"/>
      <c r="L300" s="36">
        <f t="shared" si="4"/>
        <v>13.543258111137092</v>
      </c>
      <c r="M300" s="37"/>
      <c r="N300" s="37"/>
      <c r="O300" s="37"/>
      <c r="P300" s="37"/>
      <c r="Q300" s="37"/>
      <c r="R300" s="41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ht="15">
      <c r="A301" s="20" t="s">
        <v>10</v>
      </c>
      <c r="B301" s="32" t="s">
        <v>33</v>
      </c>
      <c r="C301" s="33">
        <v>44237.500694444447</v>
      </c>
      <c r="D301" s="19" t="s">
        <v>801</v>
      </c>
      <c r="E301" s="19" t="s">
        <v>13</v>
      </c>
      <c r="F301" s="19" t="s">
        <v>364</v>
      </c>
      <c r="G301" s="19">
        <v>12.3</v>
      </c>
      <c r="H301" s="34">
        <v>319</v>
      </c>
      <c r="I301" s="19" t="s">
        <v>802</v>
      </c>
      <c r="J301" s="19" t="s">
        <v>803</v>
      </c>
      <c r="K301" s="34"/>
      <c r="L301" s="36">
        <f t="shared" si="4"/>
        <v>9.4956004837329555</v>
      </c>
      <c r="M301" s="37"/>
      <c r="N301" s="37"/>
      <c r="O301" s="37"/>
      <c r="P301" s="37"/>
      <c r="Q301" s="37"/>
      <c r="R301" s="41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ht="15">
      <c r="A302" s="20" t="s">
        <v>10</v>
      </c>
      <c r="B302" s="32" t="s">
        <v>49</v>
      </c>
      <c r="C302" s="33">
        <v>44237.493055555555</v>
      </c>
      <c r="D302" s="19" t="s">
        <v>804</v>
      </c>
      <c r="E302" s="19" t="s">
        <v>13</v>
      </c>
      <c r="F302" s="19" t="s">
        <v>364</v>
      </c>
      <c r="G302" s="19">
        <v>6.1</v>
      </c>
      <c r="H302" s="34">
        <v>83</v>
      </c>
      <c r="I302" s="19" t="s">
        <v>806</v>
      </c>
      <c r="J302" s="19" t="s">
        <v>807</v>
      </c>
      <c r="K302" s="34"/>
      <c r="L302" s="36">
        <f t="shared" si="4"/>
        <v>3.1524605057269053</v>
      </c>
      <c r="M302" s="37"/>
      <c r="N302" s="37"/>
      <c r="O302" s="37"/>
      <c r="P302" s="37"/>
      <c r="Q302" s="37"/>
      <c r="R302" s="41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ht="15.75" thickBot="1">
      <c r="A303" s="20" t="s">
        <v>10</v>
      </c>
      <c r="B303" s="42" t="s">
        <v>11</v>
      </c>
      <c r="C303" s="43">
        <v>44237.466666666667</v>
      </c>
      <c r="D303" s="47" t="s">
        <v>808</v>
      </c>
      <c r="E303" s="47" t="s">
        <v>13</v>
      </c>
      <c r="F303" s="47" t="s">
        <v>364</v>
      </c>
      <c r="G303" s="47">
        <v>0.1</v>
      </c>
      <c r="H303" s="48">
        <v>303</v>
      </c>
      <c r="I303" s="47" t="s">
        <v>809</v>
      </c>
      <c r="J303" s="47" t="s">
        <v>810</v>
      </c>
      <c r="K303" s="48"/>
      <c r="L303" s="49">
        <f t="shared" si="4"/>
        <v>0.19371014608251505</v>
      </c>
      <c r="M303" s="50"/>
      <c r="N303" s="50"/>
      <c r="O303" s="50"/>
      <c r="P303" s="50"/>
      <c r="Q303" s="50"/>
      <c r="R303" s="51"/>
      <c r="S303" s="44" t="s">
        <v>1510</v>
      </c>
      <c r="T303" s="6"/>
      <c r="U303" s="6"/>
      <c r="V303" s="6"/>
      <c r="W303" s="6"/>
      <c r="X303" s="6"/>
      <c r="Y303" s="6"/>
      <c r="Z303" s="6"/>
      <c r="AA303" s="6"/>
      <c r="AB303" s="6"/>
    </row>
    <row r="304" spans="1:28" ht="15">
      <c r="A304" s="20" t="s">
        <v>10</v>
      </c>
      <c r="B304" s="24" t="s">
        <v>58</v>
      </c>
      <c r="C304" s="25">
        <v>44237.466666666667</v>
      </c>
      <c r="D304" s="26" t="s">
        <v>808</v>
      </c>
      <c r="E304" s="26" t="s">
        <v>13</v>
      </c>
      <c r="F304" s="26" t="s">
        <v>364</v>
      </c>
      <c r="G304" s="26">
        <v>0.1</v>
      </c>
      <c r="H304" s="27">
        <v>303</v>
      </c>
      <c r="I304" s="26" t="s">
        <v>809</v>
      </c>
      <c r="J304" s="26" t="s">
        <v>810</v>
      </c>
      <c r="K304" s="27"/>
      <c r="L304" s="28">
        <f t="shared" si="4"/>
        <v>0</v>
      </c>
      <c r="M304" s="29"/>
      <c r="N304" s="75" t="s">
        <v>271</v>
      </c>
      <c r="O304" s="75" t="s">
        <v>23</v>
      </c>
      <c r="P304" s="75" t="s">
        <v>1498</v>
      </c>
      <c r="Q304" s="75" t="s">
        <v>1495</v>
      </c>
      <c r="R304" s="76" t="s">
        <v>1499</v>
      </c>
      <c r="S304" s="45">
        <f>(C302 - C304)*24</f>
        <v>0.63333333330228925</v>
      </c>
      <c r="T304" s="6"/>
      <c r="U304" s="6"/>
      <c r="V304" s="6"/>
      <c r="W304" s="6"/>
      <c r="X304" s="6"/>
      <c r="Y304" s="6"/>
      <c r="Z304" s="6"/>
      <c r="AA304" s="6"/>
      <c r="AB304" s="6"/>
    </row>
    <row r="305" spans="1:28" ht="15">
      <c r="A305" s="20" t="s">
        <v>10</v>
      </c>
      <c r="B305" s="32" t="s">
        <v>359</v>
      </c>
      <c r="C305" s="33">
        <v>44237.208333333336</v>
      </c>
      <c r="D305" s="19" t="s">
        <v>811</v>
      </c>
      <c r="E305" s="19" t="s">
        <v>13</v>
      </c>
      <c r="F305" s="19" t="s">
        <v>364</v>
      </c>
      <c r="G305" s="19">
        <v>11.4</v>
      </c>
      <c r="H305" s="34">
        <v>346</v>
      </c>
      <c r="I305" s="19" t="s">
        <v>812</v>
      </c>
      <c r="J305" s="19" t="s">
        <v>813</v>
      </c>
      <c r="K305" s="34"/>
      <c r="L305" s="36">
        <f t="shared" si="4"/>
        <v>118.76087424388326</v>
      </c>
      <c r="M305" s="37"/>
      <c r="N305" s="38" t="s">
        <v>1545</v>
      </c>
      <c r="O305" s="38" t="s">
        <v>1527</v>
      </c>
      <c r="P305" s="39">
        <f>SUM(L304:L316)</f>
        <v>373.71347974417358</v>
      </c>
      <c r="Q305" s="39">
        <f>AVERAGE(G305:G315)</f>
        <v>12.209090909090911</v>
      </c>
      <c r="R305" s="46">
        <f>(C304 - C316)*24</f>
        <v>18.416666666627862</v>
      </c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ht="15">
      <c r="A306" s="20" t="s">
        <v>10</v>
      </c>
      <c r="B306" s="32" t="s">
        <v>359</v>
      </c>
      <c r="C306" s="33">
        <v>44237.183333333334</v>
      </c>
      <c r="D306" s="19" t="s">
        <v>814</v>
      </c>
      <c r="E306" s="19" t="s">
        <v>13</v>
      </c>
      <c r="F306" s="19" t="s">
        <v>364</v>
      </c>
      <c r="G306" s="19">
        <v>12.3</v>
      </c>
      <c r="H306" s="34">
        <v>347</v>
      </c>
      <c r="I306" s="19" t="s">
        <v>815</v>
      </c>
      <c r="J306" s="19" t="s">
        <v>816</v>
      </c>
      <c r="K306" s="34"/>
      <c r="L306" s="36">
        <f t="shared" si="4"/>
        <v>13.512027647338968</v>
      </c>
      <c r="M306" s="37"/>
      <c r="N306" s="37"/>
      <c r="O306" s="37"/>
      <c r="P306" s="37"/>
      <c r="Q306" s="37"/>
      <c r="R306" s="41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ht="15">
      <c r="A307" s="20" t="s">
        <v>10</v>
      </c>
      <c r="B307" s="32" t="s">
        <v>359</v>
      </c>
      <c r="C307" s="33">
        <v>44237.183333333334</v>
      </c>
      <c r="D307" s="19" t="s">
        <v>817</v>
      </c>
      <c r="E307" s="19" t="s">
        <v>13</v>
      </c>
      <c r="F307" s="19" t="s">
        <v>364</v>
      </c>
      <c r="G307" s="19">
        <v>12.3</v>
      </c>
      <c r="H307" s="34">
        <v>347</v>
      </c>
      <c r="I307" s="19" t="s">
        <v>815</v>
      </c>
      <c r="J307" s="19" t="s">
        <v>816</v>
      </c>
      <c r="K307" s="34"/>
      <c r="L307" s="36">
        <f t="shared" si="4"/>
        <v>0</v>
      </c>
      <c r="M307" s="37"/>
      <c r="N307" s="37"/>
      <c r="O307" s="37"/>
      <c r="P307" s="37"/>
      <c r="Q307" s="37"/>
      <c r="R307" s="41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ht="15">
      <c r="A308" s="20" t="s">
        <v>10</v>
      </c>
      <c r="B308" s="32" t="s">
        <v>28</v>
      </c>
      <c r="C308" s="33">
        <v>44236.967361111114</v>
      </c>
      <c r="D308" s="19" t="s">
        <v>818</v>
      </c>
      <c r="E308" s="19" t="s">
        <v>13</v>
      </c>
      <c r="F308" s="19" t="s">
        <v>364</v>
      </c>
      <c r="G308" s="19">
        <v>12.1</v>
      </c>
      <c r="H308" s="34">
        <v>349</v>
      </c>
      <c r="I308" s="19" t="s">
        <v>819</v>
      </c>
      <c r="J308" s="19" t="s">
        <v>820</v>
      </c>
      <c r="K308" s="34"/>
      <c r="L308" s="36">
        <f t="shared" si="4"/>
        <v>100.87177977990812</v>
      </c>
      <c r="M308" s="37"/>
      <c r="N308" s="37"/>
      <c r="O308" s="37"/>
      <c r="P308" s="37"/>
      <c r="Q308" s="37"/>
      <c r="R308" s="41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ht="15">
      <c r="A309" s="20" t="s">
        <v>10</v>
      </c>
      <c r="B309" s="32" t="s">
        <v>33</v>
      </c>
      <c r="C309" s="33">
        <v>44236.804166666669</v>
      </c>
      <c r="D309" s="19" t="s">
        <v>821</v>
      </c>
      <c r="E309" s="19" t="s">
        <v>13</v>
      </c>
      <c r="F309" s="19" t="s">
        <v>364</v>
      </c>
      <c r="G309" s="19">
        <v>12.3</v>
      </c>
      <c r="H309" s="34">
        <v>318</v>
      </c>
      <c r="I309" s="19" t="s">
        <v>822</v>
      </c>
      <c r="J309" s="19" t="s">
        <v>823</v>
      </c>
      <c r="K309" s="34"/>
      <c r="L309" s="36">
        <f t="shared" si="4"/>
        <v>85.192011661717871</v>
      </c>
      <c r="M309" s="37"/>
      <c r="N309" s="37"/>
      <c r="O309" s="37"/>
      <c r="P309" s="37"/>
      <c r="Q309" s="37"/>
      <c r="R309" s="41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ht="15">
      <c r="A310" s="20" t="s">
        <v>10</v>
      </c>
      <c r="B310" s="32" t="s">
        <v>33</v>
      </c>
      <c r="C310" s="33">
        <v>44236.788194444445</v>
      </c>
      <c r="D310" s="19" t="s">
        <v>356</v>
      </c>
      <c r="E310" s="19" t="s">
        <v>13</v>
      </c>
      <c r="F310" s="19" t="s">
        <v>364</v>
      </c>
      <c r="G310" s="19">
        <v>12.7</v>
      </c>
      <c r="H310" s="34">
        <v>3</v>
      </c>
      <c r="I310" s="19" t="s">
        <v>824</v>
      </c>
      <c r="J310" s="19" t="s">
        <v>825</v>
      </c>
      <c r="K310" s="34"/>
      <c r="L310" s="36">
        <f t="shared" si="4"/>
        <v>8.8448307852023902</v>
      </c>
      <c r="M310" s="37"/>
      <c r="N310" s="37"/>
      <c r="O310" s="37"/>
      <c r="P310" s="37"/>
      <c r="Q310" s="37"/>
      <c r="R310" s="41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5">
      <c r="A311" s="20" t="s">
        <v>10</v>
      </c>
      <c r="B311" s="32" t="s">
        <v>33</v>
      </c>
      <c r="C311" s="33">
        <v>44236.777777777781</v>
      </c>
      <c r="D311" s="19" t="s">
        <v>405</v>
      </c>
      <c r="E311" s="19" t="s">
        <v>13</v>
      </c>
      <c r="F311" s="19" t="s">
        <v>364</v>
      </c>
      <c r="G311" s="19">
        <v>12.1</v>
      </c>
      <c r="H311" s="34">
        <v>33</v>
      </c>
      <c r="I311" s="19" t="s">
        <v>826</v>
      </c>
      <c r="J311" s="19" t="s">
        <v>827</v>
      </c>
      <c r="K311" s="34"/>
      <c r="L311" s="36">
        <f t="shared" si="4"/>
        <v>5.5711017272758392</v>
      </c>
      <c r="M311" s="37"/>
      <c r="N311" s="37"/>
      <c r="O311" s="37"/>
      <c r="P311" s="37"/>
      <c r="Q311" s="37"/>
      <c r="R311" s="41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ht="15">
      <c r="A312" s="20" t="s">
        <v>10</v>
      </c>
      <c r="B312" s="32" t="s">
        <v>33</v>
      </c>
      <c r="C312" s="33">
        <v>44236.769444444442</v>
      </c>
      <c r="D312" s="19" t="s">
        <v>828</v>
      </c>
      <c r="E312" s="19" t="s">
        <v>13</v>
      </c>
      <c r="F312" s="19" t="s">
        <v>364</v>
      </c>
      <c r="G312" s="19">
        <v>12.5</v>
      </c>
      <c r="H312" s="34">
        <v>344</v>
      </c>
      <c r="I312" s="19" t="s">
        <v>829</v>
      </c>
      <c r="J312" s="19" t="s">
        <v>830</v>
      </c>
      <c r="K312" s="34"/>
      <c r="L312" s="36">
        <f t="shared" si="4"/>
        <v>4.3580362679009843</v>
      </c>
      <c r="M312" s="37"/>
      <c r="N312" s="37"/>
      <c r="O312" s="37"/>
      <c r="P312" s="37"/>
      <c r="Q312" s="37"/>
      <c r="R312" s="41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ht="15">
      <c r="A313" s="20" t="s">
        <v>10</v>
      </c>
      <c r="B313" s="32" t="s">
        <v>33</v>
      </c>
      <c r="C313" s="33">
        <v>44236.747916666667</v>
      </c>
      <c r="D313" s="19" t="s">
        <v>831</v>
      </c>
      <c r="E313" s="19" t="s">
        <v>13</v>
      </c>
      <c r="F313" s="19" t="s">
        <v>364</v>
      </c>
      <c r="G313" s="19">
        <v>12.4</v>
      </c>
      <c r="H313" s="34">
        <v>304</v>
      </c>
      <c r="I313" s="19" t="s">
        <v>832</v>
      </c>
      <c r="J313" s="19" t="s">
        <v>833</v>
      </c>
      <c r="K313" s="34"/>
      <c r="L313" s="36">
        <f t="shared" si="4"/>
        <v>11.861141911435361</v>
      </c>
      <c r="M313" s="37"/>
      <c r="N313" s="37"/>
      <c r="O313" s="37"/>
      <c r="P313" s="37"/>
      <c r="Q313" s="37"/>
      <c r="R313" s="41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ht="15">
      <c r="A314" s="20" t="s">
        <v>10</v>
      </c>
      <c r="B314" s="32" t="s">
        <v>33</v>
      </c>
      <c r="C314" s="33">
        <v>44236.732638888891</v>
      </c>
      <c r="D314" s="19" t="s">
        <v>834</v>
      </c>
      <c r="E314" s="19" t="s">
        <v>13</v>
      </c>
      <c r="F314" s="19" t="s">
        <v>364</v>
      </c>
      <c r="G314" s="19">
        <v>12.1</v>
      </c>
      <c r="H314" s="34">
        <v>272</v>
      </c>
      <c r="I314" s="19" t="s">
        <v>835</v>
      </c>
      <c r="J314" s="19" t="s">
        <v>836</v>
      </c>
      <c r="K314" s="34"/>
      <c r="L314" s="36">
        <f t="shared" si="4"/>
        <v>8.2286928975720599</v>
      </c>
      <c r="M314" s="37"/>
      <c r="N314" s="37"/>
      <c r="O314" s="37"/>
      <c r="P314" s="37"/>
      <c r="Q314" s="37"/>
      <c r="R314" s="41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ht="15">
      <c r="A315" s="20" t="s">
        <v>10</v>
      </c>
      <c r="B315" s="32" t="s">
        <v>33</v>
      </c>
      <c r="C315" s="33">
        <v>44236.706250000003</v>
      </c>
      <c r="D315" s="19" t="s">
        <v>46</v>
      </c>
      <c r="E315" s="19" t="s">
        <v>13</v>
      </c>
      <c r="F315" s="19" t="s">
        <v>364</v>
      </c>
      <c r="G315" s="19">
        <v>12.1</v>
      </c>
      <c r="H315" s="34">
        <v>241</v>
      </c>
      <c r="I315" s="19" t="s">
        <v>837</v>
      </c>
      <c r="J315" s="19" t="s">
        <v>838</v>
      </c>
      <c r="K315" s="34"/>
      <c r="L315" s="36">
        <f t="shared" si="4"/>
        <v>14.290256056055084</v>
      </c>
      <c r="M315" s="37"/>
      <c r="N315" s="37"/>
      <c r="O315" s="37"/>
      <c r="P315" s="37"/>
      <c r="Q315" s="37"/>
      <c r="R315" s="41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ht="15.75" thickBot="1">
      <c r="A316" s="20" t="s">
        <v>10</v>
      </c>
      <c r="B316" s="42" t="s">
        <v>49</v>
      </c>
      <c r="C316" s="43">
        <v>44236.699305555558</v>
      </c>
      <c r="D316" s="47" t="s">
        <v>839</v>
      </c>
      <c r="E316" s="47" t="s">
        <v>13</v>
      </c>
      <c r="F316" s="47" t="s">
        <v>364</v>
      </c>
      <c r="G316" s="47">
        <v>3.6</v>
      </c>
      <c r="H316" s="48">
        <v>175</v>
      </c>
      <c r="I316" s="47" t="s">
        <v>840</v>
      </c>
      <c r="J316" s="47" t="s">
        <v>841</v>
      </c>
      <c r="K316" s="48"/>
      <c r="L316" s="49">
        <f t="shared" si="4"/>
        <v>2.2227267658837726</v>
      </c>
      <c r="M316" s="50"/>
      <c r="N316" s="50"/>
      <c r="O316" s="50"/>
      <c r="P316" s="50"/>
      <c r="Q316" s="50"/>
      <c r="R316" s="51"/>
      <c r="S316" s="44" t="s">
        <v>1510</v>
      </c>
      <c r="T316" s="6"/>
      <c r="U316" s="6"/>
      <c r="V316" s="6"/>
      <c r="W316" s="6"/>
      <c r="X316" s="6"/>
      <c r="Y316" s="6"/>
      <c r="Z316" s="6"/>
      <c r="AA316" s="6"/>
      <c r="AB316" s="6"/>
    </row>
    <row r="317" spans="1:28" ht="15">
      <c r="A317" s="20" t="s">
        <v>10</v>
      </c>
      <c r="B317" s="24" t="s">
        <v>58</v>
      </c>
      <c r="C317" s="25">
        <v>44236.668749999997</v>
      </c>
      <c r="D317" s="26" t="s">
        <v>842</v>
      </c>
      <c r="E317" s="26" t="s">
        <v>13</v>
      </c>
      <c r="F317" s="26" t="s">
        <v>364</v>
      </c>
      <c r="G317" s="26" t="s">
        <v>15</v>
      </c>
      <c r="H317" s="27">
        <v>25</v>
      </c>
      <c r="I317" s="26" t="s">
        <v>843</v>
      </c>
      <c r="J317" s="26" t="s">
        <v>844</v>
      </c>
      <c r="K317" s="27"/>
      <c r="L317" s="28">
        <f>ACOS((SIN(I316*PI()/180)*SIN(I320*PI()/180)+COS(I316*PI()/180)*COS(I320*PI()/180)*COS(J320*PI()/180-J316*PI()/180)))*3443.8985*1.852</f>
        <v>33.256941108629903</v>
      </c>
      <c r="M317" s="29"/>
      <c r="N317" s="30" t="s">
        <v>271</v>
      </c>
      <c r="O317" s="30" t="s">
        <v>23</v>
      </c>
      <c r="P317" s="30" t="s">
        <v>1498</v>
      </c>
      <c r="Q317" s="30" t="s">
        <v>1495</v>
      </c>
      <c r="R317" s="31" t="s">
        <v>1499</v>
      </c>
      <c r="S317" s="45">
        <f>(C316 - C317)*24</f>
        <v>0.73333333345362917</v>
      </c>
      <c r="T317" s="6"/>
      <c r="U317" s="6"/>
      <c r="V317" s="6"/>
      <c r="W317" s="6"/>
      <c r="X317" s="6"/>
      <c r="Y317" s="6"/>
      <c r="Z317" s="6"/>
      <c r="AA317" s="6"/>
      <c r="AB317" s="6"/>
    </row>
    <row r="318" spans="1:28" ht="15.75" thickBot="1">
      <c r="A318" s="20" t="s">
        <v>10</v>
      </c>
      <c r="B318" s="42" t="s">
        <v>271</v>
      </c>
      <c r="C318" s="43">
        <v>44236.546527777777</v>
      </c>
      <c r="D318" s="47" t="s">
        <v>845</v>
      </c>
      <c r="E318" s="47" t="s">
        <v>13</v>
      </c>
      <c r="F318" s="47" t="s">
        <v>364</v>
      </c>
      <c r="G318" s="47" t="s">
        <v>25</v>
      </c>
      <c r="H318" s="48"/>
      <c r="I318" s="47" t="s">
        <v>25</v>
      </c>
      <c r="J318" s="47" t="s">
        <v>25</v>
      </c>
      <c r="K318" s="48"/>
      <c r="L318" s="49"/>
      <c r="M318" s="50"/>
      <c r="N318" s="77" t="s">
        <v>1544</v>
      </c>
      <c r="O318" s="77" t="s">
        <v>1545</v>
      </c>
      <c r="P318" s="62">
        <f>SUM(L317)</f>
        <v>33.256941108629903</v>
      </c>
      <c r="Q318" s="62" t="s">
        <v>1546</v>
      </c>
      <c r="R318" s="78">
        <f>(C317 - C329)*24</f>
        <v>19.466666666558012</v>
      </c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ht="15">
      <c r="A319" s="20" t="s">
        <v>10</v>
      </c>
      <c r="B319" s="24" t="s">
        <v>272</v>
      </c>
      <c r="C319" s="25">
        <v>44236.544444444444</v>
      </c>
      <c r="D319" s="26" t="s">
        <v>846</v>
      </c>
      <c r="E319" s="26" t="s">
        <v>13</v>
      </c>
      <c r="F319" s="26" t="s">
        <v>364</v>
      </c>
      <c r="G319" s="26" t="s">
        <v>25</v>
      </c>
      <c r="H319" s="27"/>
      <c r="I319" s="26" t="s">
        <v>25</v>
      </c>
      <c r="J319" s="26" t="s">
        <v>25</v>
      </c>
      <c r="K319" s="27"/>
      <c r="L319" s="5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ht="15">
      <c r="A320" s="20" t="s">
        <v>10</v>
      </c>
      <c r="B320" s="32" t="s">
        <v>155</v>
      </c>
      <c r="C320" s="33">
        <v>44236.539583333331</v>
      </c>
      <c r="D320" s="19" t="s">
        <v>847</v>
      </c>
      <c r="E320" s="19" t="s">
        <v>13</v>
      </c>
      <c r="F320" s="19" t="s">
        <v>364</v>
      </c>
      <c r="G320" s="19" t="s">
        <v>15</v>
      </c>
      <c r="H320" s="34">
        <v>255</v>
      </c>
      <c r="I320" s="19" t="s">
        <v>848</v>
      </c>
      <c r="J320" s="19" t="s">
        <v>849</v>
      </c>
      <c r="K320" s="34"/>
      <c r="L320" s="57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ht="15">
      <c r="A321" s="20" t="s">
        <v>10</v>
      </c>
      <c r="B321" s="32" t="s">
        <v>155</v>
      </c>
      <c r="C321" s="33">
        <v>44236.539583333331</v>
      </c>
      <c r="D321" s="19" t="s">
        <v>850</v>
      </c>
      <c r="E321" s="19" t="s">
        <v>13</v>
      </c>
      <c r="F321" s="19" t="s">
        <v>364</v>
      </c>
      <c r="G321" s="19" t="s">
        <v>15</v>
      </c>
      <c r="H321" s="34">
        <v>255</v>
      </c>
      <c r="I321" s="19" t="s">
        <v>848</v>
      </c>
      <c r="J321" s="19" t="s">
        <v>849</v>
      </c>
      <c r="K321" s="34"/>
      <c r="L321" s="57">
        <f t="shared" si="4"/>
        <v>0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5">
      <c r="A322" s="20" t="s">
        <v>10</v>
      </c>
      <c r="B322" s="32" t="s">
        <v>21</v>
      </c>
      <c r="C322" s="33">
        <v>44236.537499999999</v>
      </c>
      <c r="D322" s="19" t="s">
        <v>273</v>
      </c>
      <c r="E322" s="19" t="s">
        <v>13</v>
      </c>
      <c r="F322" s="19" t="s">
        <v>364</v>
      </c>
      <c r="G322" s="19" t="s">
        <v>15</v>
      </c>
      <c r="H322" s="34">
        <v>255</v>
      </c>
      <c r="I322" s="19" t="s">
        <v>851</v>
      </c>
      <c r="J322" s="19" t="s">
        <v>852</v>
      </c>
      <c r="K322" s="34"/>
      <c r="L322" s="57">
        <f t="shared" si="4"/>
        <v>2.3396330647718765E-3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ht="15">
      <c r="A323" s="20" t="s">
        <v>10</v>
      </c>
      <c r="B323" s="32" t="s">
        <v>11</v>
      </c>
      <c r="C323" s="33">
        <v>44236.466666666667</v>
      </c>
      <c r="D323" s="19" t="s">
        <v>853</v>
      </c>
      <c r="E323" s="19" t="s">
        <v>13</v>
      </c>
      <c r="F323" s="19" t="s">
        <v>364</v>
      </c>
      <c r="G323" s="19" t="s">
        <v>15</v>
      </c>
      <c r="H323" s="34">
        <v>255</v>
      </c>
      <c r="I323" s="19" t="s">
        <v>854</v>
      </c>
      <c r="J323" s="19" t="s">
        <v>855</v>
      </c>
      <c r="K323" s="34"/>
      <c r="L323" s="57">
        <f t="shared" si="4"/>
        <v>1.4876284667924981E-3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ht="15">
      <c r="A324" s="20" t="s">
        <v>10</v>
      </c>
      <c r="B324" s="32" t="s">
        <v>159</v>
      </c>
      <c r="C324" s="33">
        <v>44236.397916666669</v>
      </c>
      <c r="D324" s="19" t="s">
        <v>856</v>
      </c>
      <c r="E324" s="19" t="s">
        <v>13</v>
      </c>
      <c r="F324" s="19" t="s">
        <v>364</v>
      </c>
      <c r="G324" s="19" t="s">
        <v>15</v>
      </c>
      <c r="H324" s="34">
        <v>245</v>
      </c>
      <c r="I324" s="19" t="s">
        <v>857</v>
      </c>
      <c r="J324" s="19" t="s">
        <v>858</v>
      </c>
      <c r="K324" s="34"/>
      <c r="L324" s="57">
        <f t="shared" si="4"/>
        <v>2.3741258299955956E-3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ht="15">
      <c r="A325" s="20" t="s">
        <v>10</v>
      </c>
      <c r="B325" s="32" t="s">
        <v>155</v>
      </c>
      <c r="C325" s="33">
        <v>44236.36041666667</v>
      </c>
      <c r="D325" s="19" t="s">
        <v>859</v>
      </c>
      <c r="E325" s="19" t="s">
        <v>13</v>
      </c>
      <c r="F325" s="19" t="s">
        <v>364</v>
      </c>
      <c r="G325" s="19" t="s">
        <v>15</v>
      </c>
      <c r="H325" s="34">
        <v>245</v>
      </c>
      <c r="I325" s="19" t="s">
        <v>848</v>
      </c>
      <c r="J325" s="19" t="s">
        <v>860</v>
      </c>
      <c r="K325" s="34"/>
      <c r="L325" s="57">
        <f t="shared" si="4"/>
        <v>3.4042760262663787E-3</v>
      </c>
      <c r="M325" s="6" t="s">
        <v>1544</v>
      </c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ht="15">
      <c r="A326" s="20" t="s">
        <v>10</v>
      </c>
      <c r="B326" s="32" t="s">
        <v>28</v>
      </c>
      <c r="C326" s="33">
        <v>44235.966666666667</v>
      </c>
      <c r="D326" s="19" t="s">
        <v>861</v>
      </c>
      <c r="E326" s="19" t="s">
        <v>13</v>
      </c>
      <c r="F326" s="19" t="s">
        <v>364</v>
      </c>
      <c r="G326" s="19" t="s">
        <v>15</v>
      </c>
      <c r="H326" s="34">
        <v>148</v>
      </c>
      <c r="I326" s="19" t="s">
        <v>854</v>
      </c>
      <c r="J326" s="19" t="s">
        <v>862</v>
      </c>
      <c r="K326" s="34"/>
      <c r="L326" s="57">
        <f t="shared" si="4"/>
        <v>1.453849217224379E-3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ht="15">
      <c r="A327" s="20" t="s">
        <v>10</v>
      </c>
      <c r="B327" s="32" t="s">
        <v>21</v>
      </c>
      <c r="C327" s="33">
        <v>44235.868750000001</v>
      </c>
      <c r="D327" s="19" t="s">
        <v>863</v>
      </c>
      <c r="E327" s="19" t="s">
        <v>13</v>
      </c>
      <c r="F327" s="19" t="s">
        <v>364</v>
      </c>
      <c r="G327" s="19" t="s">
        <v>15</v>
      </c>
      <c r="H327" s="34">
        <v>148</v>
      </c>
      <c r="I327" s="19" t="s">
        <v>851</v>
      </c>
      <c r="J327" s="19" t="s">
        <v>864</v>
      </c>
      <c r="K327" s="34"/>
      <c r="L327" s="57">
        <f t="shared" si="4"/>
        <v>3.3250803713914157E-3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ht="15">
      <c r="A328" s="20" t="s">
        <v>10</v>
      </c>
      <c r="B328" s="32" t="s">
        <v>21</v>
      </c>
      <c r="C328" s="33">
        <v>44235.86041666667</v>
      </c>
      <c r="D328" s="19" t="s">
        <v>865</v>
      </c>
      <c r="E328" s="19" t="s">
        <v>13</v>
      </c>
      <c r="F328" s="19" t="s">
        <v>364</v>
      </c>
      <c r="G328" s="19" t="s">
        <v>15</v>
      </c>
      <c r="H328" s="34">
        <v>148</v>
      </c>
      <c r="I328" s="19" t="s">
        <v>851</v>
      </c>
      <c r="J328" s="19" t="s">
        <v>852</v>
      </c>
      <c r="K328" s="34"/>
      <c r="L328" s="57">
        <f t="shared" si="4"/>
        <v>1.370702186303612E-3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ht="15">
      <c r="A329" s="20" t="s">
        <v>10</v>
      </c>
      <c r="B329" s="32" t="s">
        <v>26</v>
      </c>
      <c r="C329" s="33">
        <v>44235.857638888891</v>
      </c>
      <c r="D329" s="19" t="s">
        <v>846</v>
      </c>
      <c r="E329" s="19" t="s">
        <v>13</v>
      </c>
      <c r="F329" s="19" t="s">
        <v>364</v>
      </c>
      <c r="G329" s="19" t="s">
        <v>25</v>
      </c>
      <c r="H329" s="34"/>
      <c r="I329" s="19" t="s">
        <v>25</v>
      </c>
      <c r="J329" s="19" t="s">
        <v>25</v>
      </c>
      <c r="K329" s="34"/>
      <c r="L329" s="57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ht="15">
      <c r="A330" s="20" t="s">
        <v>10</v>
      </c>
      <c r="B330" s="32" t="s">
        <v>159</v>
      </c>
      <c r="C330" s="33">
        <v>44235.857638888891</v>
      </c>
      <c r="D330" s="19" t="s">
        <v>866</v>
      </c>
      <c r="E330" s="19" t="s">
        <v>13</v>
      </c>
      <c r="F330" s="19" t="s">
        <v>364</v>
      </c>
      <c r="G330" s="19" t="s">
        <v>15</v>
      </c>
      <c r="H330" s="34">
        <v>148</v>
      </c>
      <c r="I330" s="19" t="s">
        <v>851</v>
      </c>
      <c r="J330" s="19" t="s">
        <v>852</v>
      </c>
      <c r="K330" s="34"/>
      <c r="L330" s="57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ht="15.75" thickBot="1">
      <c r="A331" s="20" t="s">
        <v>10</v>
      </c>
      <c r="B331" s="42" t="s">
        <v>159</v>
      </c>
      <c r="C331" s="43">
        <v>44235.857638888891</v>
      </c>
      <c r="D331" s="47" t="s">
        <v>867</v>
      </c>
      <c r="E331" s="47" t="s">
        <v>13</v>
      </c>
      <c r="F331" s="47" t="s">
        <v>364</v>
      </c>
      <c r="G331" s="47" t="s">
        <v>15</v>
      </c>
      <c r="H331" s="48">
        <v>148</v>
      </c>
      <c r="I331" s="47" t="s">
        <v>851</v>
      </c>
      <c r="J331" s="47" t="s">
        <v>852</v>
      </c>
      <c r="K331" s="48"/>
      <c r="L331" s="60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ht="15">
      <c r="A332" s="20" t="s">
        <v>10</v>
      </c>
      <c r="B332" s="24" t="s">
        <v>23</v>
      </c>
      <c r="C332" s="25">
        <v>44235.850694444445</v>
      </c>
      <c r="D332" s="26" t="s">
        <v>845</v>
      </c>
      <c r="E332" s="26" t="s">
        <v>13</v>
      </c>
      <c r="F332" s="26" t="s">
        <v>364</v>
      </c>
      <c r="G332" s="26" t="s">
        <v>25</v>
      </c>
      <c r="H332" s="27"/>
      <c r="I332" s="26" t="s">
        <v>25</v>
      </c>
      <c r="J332" s="26" t="s">
        <v>25</v>
      </c>
      <c r="K332" s="27"/>
      <c r="L332" s="28"/>
      <c r="M332" s="29"/>
      <c r="N332" s="30" t="s">
        <v>271</v>
      </c>
      <c r="O332" s="30" t="s">
        <v>23</v>
      </c>
      <c r="P332" s="30" t="s">
        <v>1498</v>
      </c>
      <c r="Q332" s="30" t="s">
        <v>1495</v>
      </c>
      <c r="R332" s="31" t="s">
        <v>1499</v>
      </c>
      <c r="S332" s="6"/>
      <c r="T332" s="6"/>
      <c r="U332" s="392" t="s">
        <v>1568</v>
      </c>
      <c r="V332" s="392"/>
      <c r="W332" s="392"/>
      <c r="X332" s="6"/>
      <c r="Y332" s="6"/>
      <c r="Z332" s="6"/>
      <c r="AA332" s="6"/>
      <c r="AB332" s="6"/>
    </row>
    <row r="333" spans="1:28" ht="15">
      <c r="A333" s="20" t="s">
        <v>10</v>
      </c>
      <c r="B333" s="32" t="s">
        <v>488</v>
      </c>
      <c r="C333" s="33">
        <v>44235.558333333334</v>
      </c>
      <c r="D333" s="19" t="s">
        <v>868</v>
      </c>
      <c r="E333" s="19" t="s">
        <v>13</v>
      </c>
      <c r="F333" s="19" t="s">
        <v>364</v>
      </c>
      <c r="G333" s="19">
        <v>11.2</v>
      </c>
      <c r="H333" s="34">
        <v>286</v>
      </c>
      <c r="I333" s="19" t="s">
        <v>869</v>
      </c>
      <c r="J333" s="19" t="s">
        <v>870</v>
      </c>
      <c r="K333" s="34"/>
      <c r="L333" s="36">
        <f>ACOS((SIN(I331*PI()/180)*SIN(I333*PI()/180)+COS(I331*PI()/180)*COS(I333*PI()/180)*COS(J333*PI()/180-J331*PI()/180)))*3443.8985*1.852</f>
        <v>133.59591378721515</v>
      </c>
      <c r="M333" s="37"/>
      <c r="N333" s="38" t="s">
        <v>1530</v>
      </c>
      <c r="O333" s="38" t="s">
        <v>1544</v>
      </c>
      <c r="P333" s="39">
        <f>SUM(L332:L335)</f>
        <v>135.24689025608993</v>
      </c>
      <c r="Q333" s="39">
        <f>AVERAGE(G333:G333)</f>
        <v>11.2</v>
      </c>
      <c r="R333" s="46">
        <f>(C332 - C335)*24</f>
        <v>7.1000000000931323</v>
      </c>
      <c r="S333" s="6"/>
      <c r="T333" s="6"/>
      <c r="U333" s="52" t="s">
        <v>1498</v>
      </c>
      <c r="V333" s="52" t="s">
        <v>1512</v>
      </c>
      <c r="W333" s="52" t="s">
        <v>1513</v>
      </c>
      <c r="X333" s="6"/>
      <c r="Y333" s="6"/>
      <c r="Z333" s="6"/>
      <c r="AA333" s="6"/>
      <c r="AB333" s="6"/>
    </row>
    <row r="334" spans="1:28" ht="15">
      <c r="A334" s="20" t="s">
        <v>10</v>
      </c>
      <c r="B334" s="32" t="s">
        <v>271</v>
      </c>
      <c r="C334" s="33">
        <v>44235.556944444441</v>
      </c>
      <c r="D334" s="19" t="s">
        <v>492</v>
      </c>
      <c r="E334" s="19" t="s">
        <v>13</v>
      </c>
      <c r="F334" s="19" t="s">
        <v>364</v>
      </c>
      <c r="G334" s="19" t="s">
        <v>25</v>
      </c>
      <c r="H334" s="34"/>
      <c r="I334" s="79" t="s">
        <v>702</v>
      </c>
      <c r="J334" s="79" t="s">
        <v>703</v>
      </c>
      <c r="K334" s="34"/>
      <c r="L334" s="36">
        <f t="shared" ref="L334" si="5">ACOS((SIN(I333*PI()/180)*SIN(I334*PI()/180)+COS(I333*PI()/180)*COS(I334*PI()/180)*COS(J334*PI()/180-J333*PI()/180)))*3443.8985*1.852</f>
        <v>1.6509764688747688</v>
      </c>
      <c r="M334" s="37"/>
      <c r="N334" s="37"/>
      <c r="O334" s="37"/>
      <c r="P334" s="37"/>
      <c r="Q334" s="37"/>
      <c r="R334" s="41"/>
      <c r="S334" s="6"/>
      <c r="T334" s="6"/>
      <c r="U334" s="53">
        <f>SUM(P333)</f>
        <v>135.24689025608993</v>
      </c>
      <c r="V334" s="53">
        <f>SUM(R316,R333,R336,R346,R359)</f>
        <v>7.1000000000931323</v>
      </c>
      <c r="W334" s="53"/>
      <c r="X334" s="6"/>
      <c r="Y334" s="6"/>
      <c r="Z334" s="6"/>
      <c r="AA334" s="6"/>
      <c r="AB334" s="6"/>
    </row>
    <row r="335" spans="1:28" ht="15.75" thickBot="1">
      <c r="A335" s="20" t="s">
        <v>10</v>
      </c>
      <c r="B335" s="42" t="s">
        <v>272</v>
      </c>
      <c r="C335" s="43">
        <v>44235.554861111108</v>
      </c>
      <c r="D335" s="47" t="s">
        <v>493</v>
      </c>
      <c r="E335" s="47" t="s">
        <v>13</v>
      </c>
      <c r="F335" s="47" t="s">
        <v>364</v>
      </c>
      <c r="G335" s="47" t="s">
        <v>25</v>
      </c>
      <c r="H335" s="48"/>
      <c r="I335" s="47" t="s">
        <v>25</v>
      </c>
      <c r="J335" s="47" t="s">
        <v>25</v>
      </c>
      <c r="K335" s="48"/>
      <c r="L335" s="49"/>
      <c r="M335" s="50"/>
      <c r="N335" s="50"/>
      <c r="O335" s="50"/>
      <c r="P335" s="50"/>
      <c r="Q335" s="50"/>
      <c r="R335" s="51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ht="15">
      <c r="A336" s="20" t="s">
        <v>10</v>
      </c>
      <c r="B336" s="24" t="s">
        <v>21</v>
      </c>
      <c r="C336" s="25">
        <v>44235.547222222223</v>
      </c>
      <c r="D336" s="26" t="s">
        <v>273</v>
      </c>
      <c r="E336" s="26" t="s">
        <v>13</v>
      </c>
      <c r="F336" s="26" t="s">
        <v>364</v>
      </c>
      <c r="G336" s="26" t="s">
        <v>15</v>
      </c>
      <c r="H336" s="27">
        <v>115</v>
      </c>
      <c r="I336" s="26" t="s">
        <v>500</v>
      </c>
      <c r="J336" s="26" t="s">
        <v>871</v>
      </c>
      <c r="K336" s="27"/>
      <c r="L336" s="5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ht="15">
      <c r="A337" s="20" t="s">
        <v>10</v>
      </c>
      <c r="B337" s="32" t="s">
        <v>11</v>
      </c>
      <c r="C337" s="33">
        <v>44235.467361111114</v>
      </c>
      <c r="D337" s="19" t="s">
        <v>872</v>
      </c>
      <c r="E337" s="19" t="s">
        <v>13</v>
      </c>
      <c r="F337" s="19" t="s">
        <v>364</v>
      </c>
      <c r="G337" s="19" t="s">
        <v>15</v>
      </c>
      <c r="H337" s="34">
        <v>115</v>
      </c>
      <c r="I337" s="19" t="s">
        <v>497</v>
      </c>
      <c r="J337" s="19" t="s">
        <v>873</v>
      </c>
      <c r="K337" s="34"/>
      <c r="L337" s="57">
        <f t="shared" ref="L337:L393" si="6">ACOS((SIN(I336*PI()/180)*SIN(I337*PI()/180)+COS(I336*PI()/180)*COS(I337*PI()/180)*COS(J337*PI()/180-J336*PI()/180)))*3443.8985*1.852</f>
        <v>1.1205180029070761E-3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ht="15">
      <c r="A338" s="20" t="s">
        <v>10</v>
      </c>
      <c r="B338" s="32" t="s">
        <v>21</v>
      </c>
      <c r="C338" s="33">
        <v>44235.117361111108</v>
      </c>
      <c r="D338" s="19" t="s">
        <v>22</v>
      </c>
      <c r="E338" s="19" t="s">
        <v>13</v>
      </c>
      <c r="F338" s="19" t="s">
        <v>364</v>
      </c>
      <c r="G338" s="19" t="s">
        <v>15</v>
      </c>
      <c r="H338" s="34">
        <v>115</v>
      </c>
      <c r="I338" s="19" t="s">
        <v>874</v>
      </c>
      <c r="J338" s="19" t="s">
        <v>873</v>
      </c>
      <c r="K338" s="34"/>
      <c r="L338" s="57">
        <f t="shared" si="6"/>
        <v>2.2289112842542049E-3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ht="15">
      <c r="A339" s="20" t="s">
        <v>10</v>
      </c>
      <c r="B339" s="32" t="s">
        <v>26</v>
      </c>
      <c r="C339" s="33">
        <v>44235.111805555556</v>
      </c>
      <c r="D339" s="19" t="s">
        <v>493</v>
      </c>
      <c r="E339" s="19" t="s">
        <v>13</v>
      </c>
      <c r="F339" s="19" t="s">
        <v>364</v>
      </c>
      <c r="G339" s="19" t="s">
        <v>25</v>
      </c>
      <c r="H339" s="34"/>
      <c r="I339" s="19" t="s">
        <v>25</v>
      </c>
      <c r="J339" s="19" t="s">
        <v>25</v>
      </c>
      <c r="K339" s="34"/>
      <c r="L339" s="57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ht="15">
      <c r="A340" s="20" t="s">
        <v>10</v>
      </c>
      <c r="B340" s="32" t="s">
        <v>23</v>
      </c>
      <c r="C340" s="33">
        <v>44235.100694444445</v>
      </c>
      <c r="D340" s="19" t="s">
        <v>492</v>
      </c>
      <c r="E340" s="19" t="s">
        <v>13</v>
      </c>
      <c r="F340" s="19" t="s">
        <v>364</v>
      </c>
      <c r="G340" s="19" t="s">
        <v>25</v>
      </c>
      <c r="H340" s="34"/>
      <c r="I340" s="19" t="s">
        <v>25</v>
      </c>
      <c r="J340" s="19" t="s">
        <v>25</v>
      </c>
      <c r="K340" s="34"/>
      <c r="L340" s="57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ht="15">
      <c r="A341" s="20" t="s">
        <v>10</v>
      </c>
      <c r="B341" s="32" t="s">
        <v>159</v>
      </c>
      <c r="C341" s="33">
        <v>44235.100694444445</v>
      </c>
      <c r="D341" s="19" t="s">
        <v>875</v>
      </c>
      <c r="E341" s="19" t="s">
        <v>13</v>
      </c>
      <c r="F341" s="19" t="s">
        <v>364</v>
      </c>
      <c r="G341" s="19" t="s">
        <v>876</v>
      </c>
      <c r="H341" s="34">
        <v>115</v>
      </c>
      <c r="I341" s="19" t="s">
        <v>877</v>
      </c>
      <c r="J341" s="19" t="s">
        <v>878</v>
      </c>
      <c r="K341" s="34"/>
      <c r="L341" s="57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ht="15">
      <c r="A342" s="20" t="s">
        <v>10</v>
      </c>
      <c r="B342" s="32" t="s">
        <v>271</v>
      </c>
      <c r="C342" s="33">
        <v>44235.089583333334</v>
      </c>
      <c r="D342" s="19" t="s">
        <v>492</v>
      </c>
      <c r="E342" s="19" t="s">
        <v>13</v>
      </c>
      <c r="F342" s="19" t="s">
        <v>364</v>
      </c>
      <c r="G342" s="19" t="s">
        <v>25</v>
      </c>
      <c r="H342" s="34"/>
      <c r="I342" s="19" t="s">
        <v>25</v>
      </c>
      <c r="J342" s="19" t="s">
        <v>25</v>
      </c>
      <c r="K342" s="34"/>
      <c r="L342" s="57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ht="15">
      <c r="A343" s="20" t="s">
        <v>10</v>
      </c>
      <c r="B343" s="32" t="s">
        <v>155</v>
      </c>
      <c r="C343" s="33">
        <v>44235.079861111109</v>
      </c>
      <c r="D343" s="19" t="s">
        <v>879</v>
      </c>
      <c r="E343" s="19" t="s">
        <v>13</v>
      </c>
      <c r="F343" s="19" t="s">
        <v>364</v>
      </c>
      <c r="G343" s="19" t="s">
        <v>129</v>
      </c>
      <c r="H343" s="34">
        <v>140</v>
      </c>
      <c r="I343" s="19" t="s">
        <v>880</v>
      </c>
      <c r="J343" s="19" t="s">
        <v>881</v>
      </c>
      <c r="K343" s="34"/>
      <c r="L343" s="57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ht="15">
      <c r="A344" s="20" t="s">
        <v>10</v>
      </c>
      <c r="B344" s="32" t="s">
        <v>155</v>
      </c>
      <c r="C344" s="33">
        <v>44235.079861111109</v>
      </c>
      <c r="D344" s="19" t="s">
        <v>882</v>
      </c>
      <c r="E344" s="19" t="s">
        <v>13</v>
      </c>
      <c r="F344" s="19" t="s">
        <v>364</v>
      </c>
      <c r="G344" s="19" t="s">
        <v>129</v>
      </c>
      <c r="H344" s="34">
        <v>140</v>
      </c>
      <c r="I344" s="19" t="s">
        <v>880</v>
      </c>
      <c r="J344" s="19" t="s">
        <v>881</v>
      </c>
      <c r="K344" s="34"/>
      <c r="L344" s="57">
        <f t="shared" si="6"/>
        <v>9.5041096538305277E-5</v>
      </c>
      <c r="M344" s="67" t="s">
        <v>1547</v>
      </c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ht="15">
      <c r="A345" s="20" t="s">
        <v>10</v>
      </c>
      <c r="B345" s="32" t="s">
        <v>155</v>
      </c>
      <c r="C345" s="33">
        <v>44235.079861111109</v>
      </c>
      <c r="D345" s="19" t="s">
        <v>883</v>
      </c>
      <c r="E345" s="19" t="s">
        <v>13</v>
      </c>
      <c r="F345" s="19" t="s">
        <v>364</v>
      </c>
      <c r="G345" s="19" t="s">
        <v>129</v>
      </c>
      <c r="H345" s="34">
        <v>140</v>
      </c>
      <c r="I345" s="19" t="s">
        <v>880</v>
      </c>
      <c r="J345" s="19" t="s">
        <v>881</v>
      </c>
      <c r="K345" s="34"/>
      <c r="L345" s="57">
        <f t="shared" si="6"/>
        <v>9.5041096538305277E-5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ht="15">
      <c r="A346" s="20" t="s">
        <v>10</v>
      </c>
      <c r="B346" s="32" t="s">
        <v>21</v>
      </c>
      <c r="C346" s="33">
        <v>44235.07708333333</v>
      </c>
      <c r="D346" s="19" t="s">
        <v>273</v>
      </c>
      <c r="E346" s="19" t="s">
        <v>13</v>
      </c>
      <c r="F346" s="19" t="s">
        <v>364</v>
      </c>
      <c r="G346" s="19" t="s">
        <v>15</v>
      </c>
      <c r="H346" s="34">
        <v>243</v>
      </c>
      <c r="I346" s="19" t="s">
        <v>884</v>
      </c>
      <c r="J346" s="19" t="s">
        <v>885</v>
      </c>
      <c r="K346" s="34"/>
      <c r="L346" s="57">
        <f t="shared" si="6"/>
        <v>4.3282846492683517E-3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ht="15">
      <c r="A347" s="20" t="s">
        <v>10</v>
      </c>
      <c r="B347" s="32" t="s">
        <v>28</v>
      </c>
      <c r="C347" s="33">
        <v>44234.96597222222</v>
      </c>
      <c r="D347" s="19" t="s">
        <v>886</v>
      </c>
      <c r="E347" s="19" t="s">
        <v>13</v>
      </c>
      <c r="F347" s="19" t="s">
        <v>364</v>
      </c>
      <c r="G347" s="19" t="s">
        <v>15</v>
      </c>
      <c r="H347" s="34">
        <v>243</v>
      </c>
      <c r="I347" s="19" t="s">
        <v>884</v>
      </c>
      <c r="J347" s="19" t="s">
        <v>887</v>
      </c>
      <c r="K347" s="34"/>
      <c r="L347" s="57">
        <f t="shared" si="6"/>
        <v>2.5145510589578681E-4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ht="15">
      <c r="A348" s="20" t="s">
        <v>10</v>
      </c>
      <c r="B348" s="32" t="s">
        <v>21</v>
      </c>
      <c r="C348" s="33">
        <v>44234.770138888889</v>
      </c>
      <c r="D348" s="19" t="s">
        <v>22</v>
      </c>
      <c r="E348" s="19" t="s">
        <v>13</v>
      </c>
      <c r="F348" s="19" t="s">
        <v>364</v>
      </c>
      <c r="G348" s="19" t="s">
        <v>15</v>
      </c>
      <c r="H348" s="34">
        <v>243</v>
      </c>
      <c r="I348" s="19" t="s">
        <v>884</v>
      </c>
      <c r="J348" s="19" t="s">
        <v>888</v>
      </c>
      <c r="K348" s="34"/>
      <c r="L348" s="57">
        <f t="shared" si="6"/>
        <v>2.5145510589578681E-4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ht="15">
      <c r="A349" s="20" t="s">
        <v>10</v>
      </c>
      <c r="B349" s="32" t="s">
        <v>159</v>
      </c>
      <c r="C349" s="33">
        <v>44234.761805555558</v>
      </c>
      <c r="D349" s="19" t="s">
        <v>889</v>
      </c>
      <c r="E349" s="19" t="s">
        <v>13</v>
      </c>
      <c r="F349" s="19" t="s">
        <v>364</v>
      </c>
      <c r="G349" s="19" t="s">
        <v>15</v>
      </c>
      <c r="H349" s="34">
        <v>243</v>
      </c>
      <c r="I349" s="19" t="s">
        <v>884</v>
      </c>
      <c r="J349" s="19" t="s">
        <v>888</v>
      </c>
      <c r="K349" s="34"/>
      <c r="L349" s="57">
        <f t="shared" si="6"/>
        <v>0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ht="15">
      <c r="A350" s="20" t="s">
        <v>10</v>
      </c>
      <c r="B350" s="32" t="s">
        <v>159</v>
      </c>
      <c r="C350" s="33">
        <v>44234.761111111111</v>
      </c>
      <c r="D350" s="19" t="s">
        <v>890</v>
      </c>
      <c r="E350" s="19" t="s">
        <v>13</v>
      </c>
      <c r="F350" s="19" t="s">
        <v>364</v>
      </c>
      <c r="G350" s="19" t="s">
        <v>15</v>
      </c>
      <c r="H350" s="34">
        <v>243</v>
      </c>
      <c r="I350" s="19" t="s">
        <v>891</v>
      </c>
      <c r="J350" s="19" t="s">
        <v>892</v>
      </c>
      <c r="K350" s="34"/>
      <c r="L350" s="57">
        <f t="shared" si="6"/>
        <v>1.6129008917919916E-3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ht="15.75" thickBot="1">
      <c r="A351" s="20" t="s">
        <v>10</v>
      </c>
      <c r="B351" s="42" t="s">
        <v>159</v>
      </c>
      <c r="C351" s="43">
        <v>44234.761111111111</v>
      </c>
      <c r="D351" s="47" t="s">
        <v>893</v>
      </c>
      <c r="E351" s="47" t="s">
        <v>13</v>
      </c>
      <c r="F351" s="47" t="s">
        <v>364</v>
      </c>
      <c r="G351" s="47" t="s">
        <v>15</v>
      </c>
      <c r="H351" s="48">
        <v>243</v>
      </c>
      <c r="I351" s="47" t="s">
        <v>884</v>
      </c>
      <c r="J351" s="47" t="s">
        <v>888</v>
      </c>
      <c r="K351" s="48"/>
      <c r="L351" s="60">
        <f t="shared" si="6"/>
        <v>1.6129008917919916E-3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ht="15">
      <c r="A352" s="20" t="s">
        <v>10</v>
      </c>
      <c r="B352" s="24" t="s">
        <v>23</v>
      </c>
      <c r="C352" s="25">
        <v>44234.752083333333</v>
      </c>
      <c r="D352" s="26" t="s">
        <v>492</v>
      </c>
      <c r="E352" s="26" t="s">
        <v>13</v>
      </c>
      <c r="F352" s="26" t="s">
        <v>364</v>
      </c>
      <c r="G352" s="26" t="s">
        <v>25</v>
      </c>
      <c r="H352" s="27"/>
      <c r="I352" s="80" t="s">
        <v>702</v>
      </c>
      <c r="J352" s="80" t="s">
        <v>703</v>
      </c>
      <c r="K352" s="27"/>
      <c r="L352" s="28">
        <f t="shared" si="6"/>
        <v>2.4484502529349266</v>
      </c>
      <c r="M352" s="29"/>
      <c r="N352" s="30" t="s">
        <v>271</v>
      </c>
      <c r="O352" s="30" t="s">
        <v>23</v>
      </c>
      <c r="P352" s="30" t="s">
        <v>1498</v>
      </c>
      <c r="Q352" s="30" t="s">
        <v>1495</v>
      </c>
      <c r="R352" s="31" t="s">
        <v>1499</v>
      </c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ht="15">
      <c r="A353" s="20" t="s">
        <v>10</v>
      </c>
      <c r="B353" s="32" t="s">
        <v>271</v>
      </c>
      <c r="C353" s="33">
        <v>44234.660416666666</v>
      </c>
      <c r="D353" s="19" t="s">
        <v>487</v>
      </c>
      <c r="E353" s="19" t="s">
        <v>13</v>
      </c>
      <c r="F353" s="19" t="s">
        <v>364</v>
      </c>
      <c r="G353" s="19" t="s">
        <v>25</v>
      </c>
      <c r="H353" s="34"/>
      <c r="I353" s="81">
        <v>61.934370000000001</v>
      </c>
      <c r="J353" s="81">
        <v>5.1196200000000003</v>
      </c>
      <c r="K353" s="34"/>
      <c r="L353" s="36">
        <f t="shared" si="6"/>
        <v>39.463452623350456</v>
      </c>
      <c r="M353" s="37"/>
      <c r="N353" s="38" t="s">
        <v>1531</v>
      </c>
      <c r="O353" s="38" t="s">
        <v>1530</v>
      </c>
      <c r="P353" s="39">
        <f>SUM(L352:L355)</f>
        <v>42.491290082824122</v>
      </c>
      <c r="Q353" s="39">
        <f>AVERAGE(G353:G355)</f>
        <v>9.1</v>
      </c>
      <c r="R353" s="46">
        <f>(C352 - C355)*24</f>
        <v>2.2333333332790062</v>
      </c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ht="15">
      <c r="A354" s="20" t="s">
        <v>10</v>
      </c>
      <c r="B354" s="32" t="s">
        <v>376</v>
      </c>
      <c r="C354" s="33">
        <v>44234.65902777778</v>
      </c>
      <c r="D354" s="19" t="s">
        <v>510</v>
      </c>
      <c r="E354" s="19" t="s">
        <v>13</v>
      </c>
      <c r="F354" s="19" t="s">
        <v>364</v>
      </c>
      <c r="G354" s="19">
        <v>9.1</v>
      </c>
      <c r="H354" s="34">
        <v>190</v>
      </c>
      <c r="I354" s="19" t="s">
        <v>894</v>
      </c>
      <c r="J354" s="19" t="s">
        <v>895</v>
      </c>
      <c r="K354" s="34"/>
      <c r="L354" s="36">
        <f t="shared" si="6"/>
        <v>0.57938720653874276</v>
      </c>
      <c r="M354" s="37"/>
      <c r="N354" s="37"/>
      <c r="O354" s="37"/>
      <c r="P354" s="37"/>
      <c r="Q354" s="37"/>
      <c r="R354" s="41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ht="15.75" thickBot="1">
      <c r="A355" s="20" t="s">
        <v>10</v>
      </c>
      <c r="B355" s="42" t="s">
        <v>376</v>
      </c>
      <c r="C355" s="43">
        <v>44234.65902777778</v>
      </c>
      <c r="D355" s="47" t="s">
        <v>513</v>
      </c>
      <c r="E355" s="47" t="s">
        <v>13</v>
      </c>
      <c r="F355" s="47" t="s">
        <v>364</v>
      </c>
      <c r="G355" s="47">
        <v>9.1</v>
      </c>
      <c r="H355" s="48">
        <v>190</v>
      </c>
      <c r="I355" s="47" t="s">
        <v>894</v>
      </c>
      <c r="J355" s="47" t="s">
        <v>895</v>
      </c>
      <c r="K355" s="48"/>
      <c r="L355" s="49">
        <f t="shared" si="6"/>
        <v>0</v>
      </c>
      <c r="M355" s="50"/>
      <c r="N355" s="50"/>
      <c r="O355" s="50"/>
      <c r="P355" s="50"/>
      <c r="Q355" s="50"/>
      <c r="R355" s="51"/>
      <c r="S355" s="44" t="s">
        <v>1510</v>
      </c>
      <c r="T355" s="6"/>
      <c r="U355" s="6"/>
      <c r="V355" s="6"/>
      <c r="W355" s="6"/>
      <c r="X355" s="6"/>
      <c r="Y355" s="6"/>
      <c r="Z355" s="6"/>
      <c r="AA355" s="6"/>
      <c r="AB355" s="6"/>
    </row>
    <row r="356" spans="1:28" ht="15">
      <c r="A356" s="20" t="s">
        <v>10</v>
      </c>
      <c r="B356" s="24" t="s">
        <v>23</v>
      </c>
      <c r="C356" s="25">
        <v>44234.65347222222</v>
      </c>
      <c r="D356" s="26" t="s">
        <v>487</v>
      </c>
      <c r="E356" s="26" t="s">
        <v>13</v>
      </c>
      <c r="F356" s="26" t="s">
        <v>364</v>
      </c>
      <c r="G356" s="26" t="s">
        <v>25</v>
      </c>
      <c r="H356" s="27"/>
      <c r="I356" s="26" t="s">
        <v>25</v>
      </c>
      <c r="J356" s="26" t="s">
        <v>25</v>
      </c>
      <c r="K356" s="27"/>
      <c r="L356" s="28"/>
      <c r="M356" s="29"/>
      <c r="N356" s="30" t="s">
        <v>271</v>
      </c>
      <c r="O356" s="30" t="s">
        <v>23</v>
      </c>
      <c r="P356" s="30" t="s">
        <v>1498</v>
      </c>
      <c r="Q356" s="30" t="s">
        <v>1495</v>
      </c>
      <c r="R356" s="31" t="s">
        <v>1499</v>
      </c>
      <c r="S356" s="45">
        <f>(C353 - C356)*24</f>
        <v>0.16666666668606922</v>
      </c>
      <c r="T356" s="6"/>
      <c r="U356" s="6"/>
      <c r="V356" s="6"/>
      <c r="W356" s="6"/>
      <c r="X356" s="6"/>
      <c r="Y356" s="6"/>
      <c r="Z356" s="6"/>
      <c r="AA356" s="6"/>
      <c r="AB356" s="6"/>
    </row>
    <row r="357" spans="1:28" ht="15">
      <c r="A357" s="20" t="s">
        <v>10</v>
      </c>
      <c r="B357" s="32" t="s">
        <v>376</v>
      </c>
      <c r="C357" s="33">
        <v>44234.62222222222</v>
      </c>
      <c r="D357" s="19" t="s">
        <v>896</v>
      </c>
      <c r="E357" s="19" t="s">
        <v>13</v>
      </c>
      <c r="F357" s="19" t="s">
        <v>364</v>
      </c>
      <c r="G357" s="19">
        <v>11.8</v>
      </c>
      <c r="H357" s="34">
        <v>162</v>
      </c>
      <c r="I357" s="19" t="s">
        <v>897</v>
      </c>
      <c r="J357" s="19" t="s">
        <v>898</v>
      </c>
      <c r="K357" s="34"/>
      <c r="L357" s="36"/>
      <c r="M357" s="37"/>
      <c r="N357" s="38" t="s">
        <v>1532</v>
      </c>
      <c r="O357" s="38" t="s">
        <v>1531</v>
      </c>
      <c r="P357" s="39">
        <f>SUM(L356:L366)</f>
        <v>260.77614647644458</v>
      </c>
      <c r="Q357" s="39">
        <f>AVERAGE(G357:G364)</f>
        <v>11.85</v>
      </c>
      <c r="R357" s="46">
        <f>(C356 - C366)*24</f>
        <v>13.400000000023283</v>
      </c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ht="15">
      <c r="A358" s="20" t="s">
        <v>10</v>
      </c>
      <c r="B358" s="32" t="s">
        <v>11</v>
      </c>
      <c r="C358" s="33">
        <v>44234.467361111114</v>
      </c>
      <c r="D358" s="19" t="s">
        <v>899</v>
      </c>
      <c r="E358" s="19" t="s">
        <v>13</v>
      </c>
      <c r="F358" s="19" t="s">
        <v>364</v>
      </c>
      <c r="G358" s="19">
        <v>12.1</v>
      </c>
      <c r="H358" s="34">
        <v>239</v>
      </c>
      <c r="I358" s="19" t="s">
        <v>900</v>
      </c>
      <c r="J358" s="19" t="s">
        <v>901</v>
      </c>
      <c r="K358" s="34"/>
      <c r="L358" s="36">
        <f t="shared" si="6"/>
        <v>68.902023844242009</v>
      </c>
      <c r="M358" s="37"/>
      <c r="N358" s="37"/>
      <c r="O358" s="37"/>
      <c r="P358" s="37"/>
      <c r="Q358" s="37"/>
      <c r="R358" s="41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ht="15">
      <c r="A359" s="20" t="s">
        <v>10</v>
      </c>
      <c r="B359" s="32" t="s">
        <v>33</v>
      </c>
      <c r="C359" s="33">
        <v>44234.197916666664</v>
      </c>
      <c r="D359" s="19" t="s">
        <v>373</v>
      </c>
      <c r="E359" s="19" t="s">
        <v>13</v>
      </c>
      <c r="F359" s="19" t="s">
        <v>14</v>
      </c>
      <c r="G359" s="19">
        <v>11.9</v>
      </c>
      <c r="H359" s="34">
        <v>228</v>
      </c>
      <c r="I359" s="19" t="s">
        <v>902</v>
      </c>
      <c r="J359" s="19" t="s">
        <v>903</v>
      </c>
      <c r="K359" s="34"/>
      <c r="L359" s="36">
        <f t="shared" si="6"/>
        <v>141.787205542359</v>
      </c>
      <c r="M359" s="37"/>
      <c r="N359" s="37"/>
      <c r="O359" s="37"/>
      <c r="P359" s="37"/>
      <c r="Q359" s="37"/>
      <c r="R359" s="41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ht="15">
      <c r="A360" s="20" t="s">
        <v>10</v>
      </c>
      <c r="B360" s="32" t="s">
        <v>33</v>
      </c>
      <c r="C360" s="33">
        <v>44234.190972222219</v>
      </c>
      <c r="D360" s="19" t="s">
        <v>904</v>
      </c>
      <c r="E360" s="19" t="s">
        <v>13</v>
      </c>
      <c r="F360" s="19" t="s">
        <v>14</v>
      </c>
      <c r="G360" s="19">
        <v>11.7</v>
      </c>
      <c r="H360" s="34">
        <v>194</v>
      </c>
      <c r="I360" s="19" t="s">
        <v>905</v>
      </c>
      <c r="J360" s="19" t="s">
        <v>906</v>
      </c>
      <c r="K360" s="34"/>
      <c r="L360" s="36">
        <f t="shared" si="6"/>
        <v>3.9526592487720826</v>
      </c>
      <c r="M360" s="37"/>
      <c r="N360" s="37"/>
      <c r="O360" s="37"/>
      <c r="P360" s="37"/>
      <c r="Q360" s="37"/>
      <c r="R360" s="41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ht="15">
      <c r="A361" s="20" t="s">
        <v>10</v>
      </c>
      <c r="B361" s="32" t="s">
        <v>33</v>
      </c>
      <c r="C361" s="33">
        <v>44234.175000000003</v>
      </c>
      <c r="D361" s="19" t="s">
        <v>907</v>
      </c>
      <c r="E361" s="19" t="s">
        <v>13</v>
      </c>
      <c r="F361" s="19" t="s">
        <v>14</v>
      </c>
      <c r="G361" s="19">
        <v>11.8</v>
      </c>
      <c r="H361" s="34">
        <v>155</v>
      </c>
      <c r="I361" s="19" t="s">
        <v>908</v>
      </c>
      <c r="J361" s="19" t="s">
        <v>909</v>
      </c>
      <c r="K361" s="34"/>
      <c r="L361" s="36">
        <f t="shared" si="6"/>
        <v>8.1556762064820685</v>
      </c>
      <c r="M361" s="37"/>
      <c r="N361" s="37"/>
      <c r="O361" s="37"/>
      <c r="P361" s="37"/>
      <c r="Q361" s="37"/>
      <c r="R361" s="41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ht="15">
      <c r="A362" s="20" t="s">
        <v>10</v>
      </c>
      <c r="B362" s="32" t="s">
        <v>33</v>
      </c>
      <c r="C362" s="33">
        <v>44234.152083333334</v>
      </c>
      <c r="D362" s="19" t="s">
        <v>910</v>
      </c>
      <c r="E362" s="19" t="s">
        <v>13</v>
      </c>
      <c r="F362" s="19" t="s">
        <v>14</v>
      </c>
      <c r="G362" s="19">
        <v>11.9</v>
      </c>
      <c r="H362" s="34">
        <v>189</v>
      </c>
      <c r="I362" s="19" t="s">
        <v>911</v>
      </c>
      <c r="J362" s="19" t="s">
        <v>912</v>
      </c>
      <c r="K362" s="34"/>
      <c r="L362" s="36">
        <f t="shared" si="6"/>
        <v>11.981546161835123</v>
      </c>
      <c r="M362" s="37"/>
      <c r="N362" s="37"/>
      <c r="O362" s="37"/>
      <c r="P362" s="37"/>
      <c r="Q362" s="37"/>
      <c r="R362" s="41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ht="15">
      <c r="A363" s="20" t="s">
        <v>10</v>
      </c>
      <c r="B363" s="32" t="s">
        <v>33</v>
      </c>
      <c r="C363" s="33">
        <v>44234.132638888892</v>
      </c>
      <c r="D363" s="19" t="s">
        <v>913</v>
      </c>
      <c r="E363" s="19" t="s">
        <v>13</v>
      </c>
      <c r="F363" s="19" t="s">
        <v>14</v>
      </c>
      <c r="G363" s="19">
        <v>12</v>
      </c>
      <c r="H363" s="34">
        <v>219</v>
      </c>
      <c r="I363" s="19" t="s">
        <v>914</v>
      </c>
      <c r="J363" s="19" t="s">
        <v>915</v>
      </c>
      <c r="K363" s="34"/>
      <c r="L363" s="36">
        <f t="shared" si="6"/>
        <v>10.53723027998428</v>
      </c>
      <c r="M363" s="37"/>
      <c r="N363" s="37"/>
      <c r="O363" s="37"/>
      <c r="P363" s="37"/>
      <c r="Q363" s="37"/>
      <c r="R363" s="41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ht="15">
      <c r="A364" s="20" t="s">
        <v>10</v>
      </c>
      <c r="B364" s="32" t="s">
        <v>33</v>
      </c>
      <c r="C364" s="33">
        <v>44234.107638888891</v>
      </c>
      <c r="D364" s="19" t="s">
        <v>916</v>
      </c>
      <c r="E364" s="19" t="s">
        <v>13</v>
      </c>
      <c r="F364" s="19" t="s">
        <v>14</v>
      </c>
      <c r="G364" s="19">
        <v>11.6</v>
      </c>
      <c r="H364" s="34">
        <v>255</v>
      </c>
      <c r="I364" s="19" t="s">
        <v>917</v>
      </c>
      <c r="J364" s="19" t="s">
        <v>918</v>
      </c>
      <c r="K364" s="34"/>
      <c r="L364" s="36">
        <f t="shared" si="6"/>
        <v>12.999757237505925</v>
      </c>
      <c r="M364" s="37"/>
      <c r="N364" s="37"/>
      <c r="O364" s="37"/>
      <c r="P364" s="37"/>
      <c r="Q364" s="37"/>
      <c r="R364" s="41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ht="15">
      <c r="A365" s="20" t="s">
        <v>10</v>
      </c>
      <c r="B365" s="32" t="s">
        <v>49</v>
      </c>
      <c r="C365" s="33">
        <v>44234.100694444445</v>
      </c>
      <c r="D365" s="19" t="s">
        <v>919</v>
      </c>
      <c r="E365" s="19" t="s">
        <v>13</v>
      </c>
      <c r="F365" s="19" t="s">
        <v>14</v>
      </c>
      <c r="G365" s="19">
        <v>5.8</v>
      </c>
      <c r="H365" s="34">
        <v>347</v>
      </c>
      <c r="I365" s="19" t="s">
        <v>920</v>
      </c>
      <c r="J365" s="19" t="s">
        <v>921</v>
      </c>
      <c r="K365" s="34"/>
      <c r="L365" s="36">
        <f t="shared" si="6"/>
        <v>2.1732448206312496</v>
      </c>
      <c r="M365" s="37"/>
      <c r="N365" s="37"/>
      <c r="O365" s="37"/>
      <c r="P365" s="37"/>
      <c r="Q365" s="37"/>
      <c r="R365" s="41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ht="15.75" thickBot="1">
      <c r="A366" s="20" t="s">
        <v>10</v>
      </c>
      <c r="B366" s="42" t="s">
        <v>155</v>
      </c>
      <c r="C366" s="43">
        <v>44234.095138888886</v>
      </c>
      <c r="D366" s="47" t="s">
        <v>922</v>
      </c>
      <c r="E366" s="47" t="s">
        <v>13</v>
      </c>
      <c r="F366" s="47" t="s">
        <v>14</v>
      </c>
      <c r="G366" s="47">
        <v>0.1</v>
      </c>
      <c r="H366" s="48">
        <v>177</v>
      </c>
      <c r="I366" s="47" t="s">
        <v>923</v>
      </c>
      <c r="J366" s="47" t="s">
        <v>924</v>
      </c>
      <c r="K366" s="48"/>
      <c r="L366" s="49">
        <f t="shared" si="6"/>
        <v>0.28680313463285856</v>
      </c>
      <c r="M366" s="50"/>
      <c r="N366" s="50"/>
      <c r="O366" s="50"/>
      <c r="P366" s="50"/>
      <c r="Q366" s="50"/>
      <c r="R366" s="51"/>
      <c r="S366" s="44" t="s">
        <v>1510</v>
      </c>
      <c r="T366" s="6"/>
      <c r="U366" s="6"/>
      <c r="V366" s="6"/>
      <c r="W366" s="6"/>
      <c r="X366" s="6"/>
      <c r="Y366" s="6"/>
      <c r="Z366" s="6"/>
      <c r="AA366" s="6"/>
      <c r="AB366" s="6"/>
    </row>
    <row r="367" spans="1:28" ht="15">
      <c r="A367" s="20" t="s">
        <v>10</v>
      </c>
      <c r="B367" s="24" t="s">
        <v>58</v>
      </c>
      <c r="C367" s="25">
        <v>44234.056250000001</v>
      </c>
      <c r="D367" s="26" t="s">
        <v>925</v>
      </c>
      <c r="E367" s="26" t="s">
        <v>13</v>
      </c>
      <c r="F367" s="26" t="s">
        <v>14</v>
      </c>
      <c r="G367" s="26">
        <v>0.1</v>
      </c>
      <c r="H367" s="27">
        <v>243</v>
      </c>
      <c r="I367" s="26" t="s">
        <v>926</v>
      </c>
      <c r="J367" s="26" t="s">
        <v>927</v>
      </c>
      <c r="K367" s="27"/>
      <c r="L367" s="28">
        <f t="shared" si="6"/>
        <v>5.6699004311088919E-3</v>
      </c>
      <c r="M367" s="29"/>
      <c r="N367" s="30" t="s">
        <v>271</v>
      </c>
      <c r="O367" s="30" t="s">
        <v>23</v>
      </c>
      <c r="P367" s="30" t="s">
        <v>1498</v>
      </c>
      <c r="Q367" s="30" t="s">
        <v>1495</v>
      </c>
      <c r="R367" s="31" t="s">
        <v>1499</v>
      </c>
      <c r="S367" s="45">
        <f>(C366 - C367)*24</f>
        <v>0.93333333323244005</v>
      </c>
      <c r="T367" s="6"/>
      <c r="U367" s="6"/>
      <c r="V367" s="6"/>
      <c r="W367" s="6"/>
      <c r="X367" s="6"/>
      <c r="Y367" s="6"/>
      <c r="Z367" s="6"/>
      <c r="AA367" s="6"/>
      <c r="AB367" s="6"/>
    </row>
    <row r="368" spans="1:28" ht="15">
      <c r="A368" s="20" t="s">
        <v>10</v>
      </c>
      <c r="B368" s="32" t="s">
        <v>159</v>
      </c>
      <c r="C368" s="33">
        <v>44234.054166666669</v>
      </c>
      <c r="D368" s="19" t="s">
        <v>928</v>
      </c>
      <c r="E368" s="19" t="s">
        <v>13</v>
      </c>
      <c r="F368" s="19" t="s">
        <v>14</v>
      </c>
      <c r="G368" s="19">
        <v>0.1</v>
      </c>
      <c r="H368" s="34">
        <v>201</v>
      </c>
      <c r="I368" s="19" t="s">
        <v>546</v>
      </c>
      <c r="J368" s="19" t="s">
        <v>929</v>
      </c>
      <c r="K368" s="34"/>
      <c r="L368" s="36">
        <f t="shared" si="6"/>
        <v>6.6941594369400604E-3</v>
      </c>
      <c r="M368" s="37"/>
      <c r="N368" s="38" t="s">
        <v>1534</v>
      </c>
      <c r="O368" s="38" t="s">
        <v>1532</v>
      </c>
      <c r="P368" s="39">
        <f>SUM(L367:L371)</f>
        <v>82.215558386675539</v>
      </c>
      <c r="Q368" s="39">
        <f>AVERAGE(G369:G370)</f>
        <v>11.7</v>
      </c>
      <c r="R368" s="46">
        <f>(C367 - C371)*24</f>
        <v>4.1500000000814907</v>
      </c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ht="15">
      <c r="A369" s="20" t="s">
        <v>10</v>
      </c>
      <c r="B369" s="32" t="s">
        <v>28</v>
      </c>
      <c r="C369" s="33">
        <v>44233.967361111114</v>
      </c>
      <c r="D369" s="19" t="s">
        <v>930</v>
      </c>
      <c r="E369" s="19" t="s">
        <v>13</v>
      </c>
      <c r="F369" s="19" t="s">
        <v>14</v>
      </c>
      <c r="G369" s="19">
        <v>11.4</v>
      </c>
      <c r="H369" s="34">
        <v>234</v>
      </c>
      <c r="I369" s="19" t="s">
        <v>931</v>
      </c>
      <c r="J369" s="19" t="s">
        <v>932</v>
      </c>
      <c r="K369" s="34"/>
      <c r="L369" s="36">
        <f t="shared" si="6"/>
        <v>41.132011866562472</v>
      </c>
      <c r="M369" s="37"/>
      <c r="N369" s="37"/>
      <c r="O369" s="37"/>
      <c r="P369" s="37"/>
      <c r="Q369" s="37"/>
      <c r="R369" s="41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ht="15">
      <c r="A370" s="20" t="s">
        <v>10</v>
      </c>
      <c r="B370" s="32" t="s">
        <v>33</v>
      </c>
      <c r="C370" s="33">
        <v>44233.890972222223</v>
      </c>
      <c r="D370" s="19" t="s">
        <v>525</v>
      </c>
      <c r="E370" s="19" t="s">
        <v>13</v>
      </c>
      <c r="F370" s="19" t="s">
        <v>14</v>
      </c>
      <c r="G370" s="19">
        <v>12</v>
      </c>
      <c r="H370" s="34">
        <v>223</v>
      </c>
      <c r="I370" s="19" t="s">
        <v>933</v>
      </c>
      <c r="J370" s="19" t="s">
        <v>934</v>
      </c>
      <c r="K370" s="34"/>
      <c r="L370" s="36">
        <f t="shared" si="6"/>
        <v>39.021186531853139</v>
      </c>
      <c r="M370" s="37"/>
      <c r="N370" s="37"/>
      <c r="O370" s="37"/>
      <c r="P370" s="37"/>
      <c r="Q370" s="37"/>
      <c r="R370" s="41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ht="15.75" thickBot="1">
      <c r="A371" s="20" t="s">
        <v>10</v>
      </c>
      <c r="B371" s="42" t="s">
        <v>49</v>
      </c>
      <c r="C371" s="43">
        <v>44233.883333333331</v>
      </c>
      <c r="D371" s="47" t="s">
        <v>935</v>
      </c>
      <c r="E371" s="47" t="s">
        <v>13</v>
      </c>
      <c r="F371" s="47" t="s">
        <v>14</v>
      </c>
      <c r="G371" s="47">
        <v>3.7</v>
      </c>
      <c r="H371" s="48">
        <v>147</v>
      </c>
      <c r="I371" s="47" t="s">
        <v>936</v>
      </c>
      <c r="J371" s="47" t="s">
        <v>937</v>
      </c>
      <c r="K371" s="48"/>
      <c r="L371" s="49">
        <f t="shared" si="6"/>
        <v>2.0499959283918812</v>
      </c>
      <c r="M371" s="50"/>
      <c r="N371" s="50"/>
      <c r="O371" s="50"/>
      <c r="P371" s="50"/>
      <c r="Q371" s="50"/>
      <c r="R371" s="51"/>
      <c r="S371" s="44" t="s">
        <v>1510</v>
      </c>
      <c r="T371" s="6"/>
      <c r="U371" s="6"/>
      <c r="V371" s="6"/>
      <c r="W371" s="6"/>
      <c r="X371" s="6"/>
      <c r="Y371" s="6"/>
      <c r="Z371" s="6"/>
      <c r="AA371" s="6"/>
      <c r="AB371" s="6"/>
    </row>
    <row r="372" spans="1:28" ht="15">
      <c r="A372" s="20" t="s">
        <v>10</v>
      </c>
      <c r="B372" s="24" t="s">
        <v>58</v>
      </c>
      <c r="C372" s="25">
        <v>44233.841666666667</v>
      </c>
      <c r="D372" s="26" t="s">
        <v>938</v>
      </c>
      <c r="E372" s="26" t="s">
        <v>13</v>
      </c>
      <c r="F372" s="26" t="s">
        <v>14</v>
      </c>
      <c r="G372" s="26">
        <v>0.8</v>
      </c>
      <c r="H372" s="27">
        <v>22</v>
      </c>
      <c r="I372" s="26" t="s">
        <v>939</v>
      </c>
      <c r="J372" s="26" t="s">
        <v>940</v>
      </c>
      <c r="K372" s="27"/>
      <c r="L372" s="28">
        <f t="shared" si="6"/>
        <v>0.24824323248400892</v>
      </c>
      <c r="M372" s="29"/>
      <c r="N372" s="30" t="s">
        <v>271</v>
      </c>
      <c r="O372" s="30" t="s">
        <v>23</v>
      </c>
      <c r="P372" s="30" t="s">
        <v>1498</v>
      </c>
      <c r="Q372" s="30" t="s">
        <v>1495</v>
      </c>
      <c r="R372" s="31" t="s">
        <v>1499</v>
      </c>
      <c r="S372" s="45">
        <f>(C371 - C372)*24</f>
        <v>0.99999999994179234</v>
      </c>
      <c r="T372" s="6"/>
      <c r="U372" s="6"/>
      <c r="V372" s="6"/>
      <c r="W372" s="6"/>
      <c r="X372" s="6"/>
      <c r="Y372" s="6"/>
      <c r="Z372" s="6"/>
      <c r="AA372" s="6"/>
      <c r="AB372" s="6"/>
    </row>
    <row r="373" spans="1:28" ht="15">
      <c r="A373" s="20" t="s">
        <v>10</v>
      </c>
      <c r="B373" s="32" t="s">
        <v>49</v>
      </c>
      <c r="C373" s="33">
        <v>44233.835416666669</v>
      </c>
      <c r="D373" s="19" t="s">
        <v>941</v>
      </c>
      <c r="E373" s="19" t="s">
        <v>13</v>
      </c>
      <c r="F373" s="19" t="s">
        <v>14</v>
      </c>
      <c r="G373" s="19">
        <v>7</v>
      </c>
      <c r="H373" s="34">
        <v>170</v>
      </c>
      <c r="I373" s="19" t="s">
        <v>942</v>
      </c>
      <c r="J373" s="19" t="s">
        <v>943</v>
      </c>
      <c r="K373" s="34"/>
      <c r="L373" s="36">
        <f t="shared" si="6"/>
        <v>0.80739752035116408</v>
      </c>
      <c r="M373" s="37"/>
      <c r="N373" s="38" t="s">
        <v>1539</v>
      </c>
      <c r="O373" s="38" t="s">
        <v>1534</v>
      </c>
      <c r="P373" s="39">
        <f>SUM(L372:L379)</f>
        <v>78.276443805503064</v>
      </c>
      <c r="Q373" s="39">
        <f>AVERAGE(G375,G377:G378)</f>
        <v>9.3666666666666671</v>
      </c>
      <c r="R373" s="46">
        <f>(C372 - C379)*24</f>
        <v>4.21666666661622</v>
      </c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ht="15">
      <c r="A374" s="20" t="s">
        <v>10</v>
      </c>
      <c r="B374" s="32" t="s">
        <v>58</v>
      </c>
      <c r="C374" s="33">
        <v>44233.832638888889</v>
      </c>
      <c r="D374" s="19" t="s">
        <v>944</v>
      </c>
      <c r="E374" s="19" t="s">
        <v>13</v>
      </c>
      <c r="F374" s="19" t="s">
        <v>14</v>
      </c>
      <c r="G374" s="19">
        <v>0.2</v>
      </c>
      <c r="H374" s="34">
        <v>354</v>
      </c>
      <c r="I374" s="19" t="s">
        <v>945</v>
      </c>
      <c r="J374" s="19" t="s">
        <v>946</v>
      </c>
      <c r="K374" s="34"/>
      <c r="L374" s="36">
        <f t="shared" si="6"/>
        <v>0.28490562580497847</v>
      </c>
      <c r="M374" s="37"/>
      <c r="N374" s="37"/>
      <c r="O374" s="37"/>
      <c r="P374" s="37"/>
      <c r="Q374" s="37"/>
      <c r="R374" s="41"/>
      <c r="S374" s="6"/>
      <c r="T374" s="6"/>
      <c r="U374" s="392" t="s">
        <v>1542</v>
      </c>
      <c r="V374" s="392"/>
      <c r="W374" s="392"/>
      <c r="X374" s="6"/>
      <c r="Y374" s="6"/>
      <c r="Z374" s="6"/>
      <c r="AA374" s="6"/>
      <c r="AB374" s="6"/>
    </row>
    <row r="375" spans="1:28" ht="15">
      <c r="A375" s="20" t="s">
        <v>10</v>
      </c>
      <c r="B375" s="32" t="s">
        <v>49</v>
      </c>
      <c r="C375" s="33">
        <v>44233.706944444442</v>
      </c>
      <c r="D375" s="19" t="s">
        <v>947</v>
      </c>
      <c r="E375" s="19" t="s">
        <v>13</v>
      </c>
      <c r="F375" s="19" t="s">
        <v>14</v>
      </c>
      <c r="G375" s="19">
        <v>5</v>
      </c>
      <c r="H375" s="34">
        <v>4</v>
      </c>
      <c r="I375" s="19" t="s">
        <v>948</v>
      </c>
      <c r="J375" s="19" t="s">
        <v>949</v>
      </c>
      <c r="K375" s="34"/>
      <c r="L375" s="36">
        <f t="shared" si="6"/>
        <v>62.175896327752866</v>
      </c>
      <c r="M375" s="37"/>
      <c r="N375" s="37"/>
      <c r="O375" s="37"/>
      <c r="P375" s="37"/>
      <c r="Q375" s="37"/>
      <c r="R375" s="41"/>
      <c r="S375" s="6"/>
      <c r="T375" s="6"/>
      <c r="U375" s="52" t="s">
        <v>1498</v>
      </c>
      <c r="V375" s="52" t="s">
        <v>1512</v>
      </c>
      <c r="W375" s="52" t="s">
        <v>1513</v>
      </c>
      <c r="X375" s="6"/>
      <c r="Y375" s="6"/>
      <c r="Z375" s="6"/>
      <c r="AA375" s="6"/>
      <c r="AB375" s="6"/>
    </row>
    <row r="376" spans="1:28" ht="15">
      <c r="A376" s="20" t="s">
        <v>10</v>
      </c>
      <c r="B376" s="32" t="s">
        <v>58</v>
      </c>
      <c r="C376" s="33">
        <v>44233.697916666664</v>
      </c>
      <c r="D376" s="19" t="s">
        <v>950</v>
      </c>
      <c r="E376" s="19" t="s">
        <v>13</v>
      </c>
      <c r="F376" s="19" t="s">
        <v>14</v>
      </c>
      <c r="G376" s="19">
        <v>0.7</v>
      </c>
      <c r="H376" s="34">
        <v>307</v>
      </c>
      <c r="I376" s="19" t="s">
        <v>951</v>
      </c>
      <c r="J376" s="19" t="s">
        <v>952</v>
      </c>
      <c r="K376" s="34"/>
      <c r="L376" s="36">
        <f t="shared" si="6"/>
        <v>0.12693168095341906</v>
      </c>
      <c r="M376" s="37"/>
      <c r="N376" s="37"/>
      <c r="O376" s="37"/>
      <c r="P376" s="37"/>
      <c r="Q376" s="37"/>
      <c r="R376" s="41"/>
      <c r="S376" s="6"/>
      <c r="T376" s="6"/>
      <c r="U376" s="53">
        <f>SUM(P353,P357,P368,P373,P381,P384,P388)</f>
        <v>805.2871737767839</v>
      </c>
      <c r="V376" s="53">
        <f>SUM(R353,R357,R368,R373,R381,R384,R388)</f>
        <v>41.89999999984866</v>
      </c>
      <c r="W376" s="53">
        <f>SUM(S367,S372,S380,S383,S387)</f>
        <v>6.6500000000232831</v>
      </c>
      <c r="X376" s="6"/>
      <c r="Y376" s="6"/>
      <c r="Z376" s="6"/>
      <c r="AA376" s="6"/>
      <c r="AB376" s="6"/>
    </row>
    <row r="377" spans="1:28" ht="15">
      <c r="A377" s="20" t="s">
        <v>10</v>
      </c>
      <c r="B377" s="32" t="s">
        <v>33</v>
      </c>
      <c r="C377" s="33">
        <v>44233.679861111108</v>
      </c>
      <c r="D377" s="19" t="s">
        <v>953</v>
      </c>
      <c r="E377" s="19" t="s">
        <v>13</v>
      </c>
      <c r="F377" s="19" t="s">
        <v>14</v>
      </c>
      <c r="G377" s="19">
        <v>12.5</v>
      </c>
      <c r="H377" s="34">
        <v>275</v>
      </c>
      <c r="I377" s="19" t="s">
        <v>954</v>
      </c>
      <c r="J377" s="19" t="s">
        <v>955</v>
      </c>
      <c r="K377" s="34"/>
      <c r="L377" s="36">
        <f t="shared" si="6"/>
        <v>8.6368291353140414</v>
      </c>
      <c r="M377" s="37"/>
      <c r="N377" s="37"/>
      <c r="O377" s="37"/>
      <c r="P377" s="37"/>
      <c r="Q377" s="37"/>
      <c r="R377" s="41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ht="15">
      <c r="A378" s="20" t="s">
        <v>10</v>
      </c>
      <c r="B378" s="32" t="s">
        <v>33</v>
      </c>
      <c r="C378" s="33">
        <v>44233.67291666667</v>
      </c>
      <c r="D378" s="19" t="s">
        <v>463</v>
      </c>
      <c r="E378" s="19" t="s">
        <v>13</v>
      </c>
      <c r="F378" s="19" t="s">
        <v>14</v>
      </c>
      <c r="G378" s="19">
        <v>10.6</v>
      </c>
      <c r="H378" s="34">
        <v>313</v>
      </c>
      <c r="I378" s="19" t="s">
        <v>956</v>
      </c>
      <c r="J378" s="19" t="s">
        <v>957</v>
      </c>
      <c r="K378" s="34"/>
      <c r="L378" s="36">
        <f t="shared" si="6"/>
        <v>3.5929222950072179</v>
      </c>
      <c r="M378" s="37"/>
      <c r="N378" s="37"/>
      <c r="O378" s="37"/>
      <c r="P378" s="37"/>
      <c r="Q378" s="37"/>
      <c r="R378" s="41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ht="15.75" thickBot="1">
      <c r="A379" s="20" t="s">
        <v>10</v>
      </c>
      <c r="B379" s="42" t="s">
        <v>49</v>
      </c>
      <c r="C379" s="43">
        <v>44233.665972222225</v>
      </c>
      <c r="D379" s="47" t="s">
        <v>958</v>
      </c>
      <c r="E379" s="47" t="s">
        <v>13</v>
      </c>
      <c r="F379" s="47" t="s">
        <v>14</v>
      </c>
      <c r="G379" s="47">
        <v>4.0999999999999996</v>
      </c>
      <c r="H379" s="48">
        <v>9</v>
      </c>
      <c r="I379" s="47" t="s">
        <v>661</v>
      </c>
      <c r="J379" s="47" t="s">
        <v>959</v>
      </c>
      <c r="K379" s="48"/>
      <c r="L379" s="49">
        <f t="shared" si="6"/>
        <v>2.4033179878353805</v>
      </c>
      <c r="M379" s="50"/>
      <c r="N379" s="50"/>
      <c r="O379" s="50"/>
      <c r="P379" s="50"/>
      <c r="Q379" s="50"/>
      <c r="R379" s="51"/>
      <c r="S379" s="44" t="s">
        <v>1510</v>
      </c>
      <c r="T379" s="6"/>
      <c r="U379" s="6"/>
      <c r="V379" s="6"/>
      <c r="W379" s="6"/>
      <c r="X379" s="6"/>
      <c r="Y379" s="6"/>
      <c r="Z379" s="6"/>
      <c r="AA379" s="6"/>
      <c r="AB379" s="6"/>
    </row>
    <row r="380" spans="1:28" ht="15">
      <c r="A380" s="20" t="s">
        <v>10</v>
      </c>
      <c r="B380" s="24" t="s">
        <v>58</v>
      </c>
      <c r="C380" s="25">
        <v>44233.618750000001</v>
      </c>
      <c r="D380" s="26" t="s">
        <v>960</v>
      </c>
      <c r="E380" s="26" t="s">
        <v>13</v>
      </c>
      <c r="F380" s="26" t="s">
        <v>14</v>
      </c>
      <c r="G380" s="26">
        <v>0.3</v>
      </c>
      <c r="H380" s="27">
        <v>222</v>
      </c>
      <c r="I380" s="26" t="s">
        <v>961</v>
      </c>
      <c r="J380" s="26" t="s">
        <v>962</v>
      </c>
      <c r="K380" s="27"/>
      <c r="L380" s="28">
        <f t="shared" si="6"/>
        <v>0.10801875329191898</v>
      </c>
      <c r="M380" s="29"/>
      <c r="N380" s="30" t="s">
        <v>271</v>
      </c>
      <c r="O380" s="30" t="s">
        <v>23</v>
      </c>
      <c r="P380" s="30" t="s">
        <v>1498</v>
      </c>
      <c r="Q380" s="30" t="s">
        <v>1495</v>
      </c>
      <c r="R380" s="31" t="s">
        <v>1499</v>
      </c>
      <c r="S380" s="45">
        <f>(C379 - C380)*24</f>
        <v>1.1333333333604969</v>
      </c>
      <c r="T380" s="6"/>
      <c r="U380" s="6"/>
      <c r="V380" s="6"/>
      <c r="W380" s="6"/>
      <c r="X380" s="6"/>
      <c r="Y380" s="6"/>
      <c r="Z380" s="6"/>
      <c r="AA380" s="6"/>
      <c r="AB380" s="6"/>
    </row>
    <row r="381" spans="1:28" ht="15">
      <c r="A381" s="20" t="s">
        <v>10</v>
      </c>
      <c r="B381" s="32" t="s">
        <v>33</v>
      </c>
      <c r="C381" s="33">
        <v>44233.612500000003</v>
      </c>
      <c r="D381" s="19" t="s">
        <v>963</v>
      </c>
      <c r="E381" s="19" t="s">
        <v>13</v>
      </c>
      <c r="F381" s="19" t="s">
        <v>14</v>
      </c>
      <c r="G381" s="19">
        <v>11.6</v>
      </c>
      <c r="H381" s="34">
        <v>92</v>
      </c>
      <c r="I381" s="19" t="s">
        <v>964</v>
      </c>
      <c r="J381" s="19" t="s">
        <v>965</v>
      </c>
      <c r="K381" s="34"/>
      <c r="L381" s="36">
        <f t="shared" si="6"/>
        <v>1.5086753828665689</v>
      </c>
      <c r="M381" s="37"/>
      <c r="N381" s="38" t="s">
        <v>1548</v>
      </c>
      <c r="O381" s="38" t="s">
        <v>1539</v>
      </c>
      <c r="P381" s="39">
        <f>SUM(L380:L382)</f>
        <v>4.9946250006598358</v>
      </c>
      <c r="Q381" s="39">
        <f>AVERAGE(G381,G381)</f>
        <v>11.6</v>
      </c>
      <c r="R381" s="46">
        <f>(C380 - C382)*24</f>
        <v>0.33333333337213844</v>
      </c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ht="15.75" thickBot="1">
      <c r="A382" s="20" t="s">
        <v>10</v>
      </c>
      <c r="B382" s="42" t="s">
        <v>49</v>
      </c>
      <c r="C382" s="43">
        <v>44233.604861111111</v>
      </c>
      <c r="D382" s="47" t="s">
        <v>966</v>
      </c>
      <c r="E382" s="47" t="s">
        <v>13</v>
      </c>
      <c r="F382" s="47" t="s">
        <v>14</v>
      </c>
      <c r="G382" s="47">
        <v>3.7</v>
      </c>
      <c r="H382" s="48">
        <v>23</v>
      </c>
      <c r="I382" s="47" t="s">
        <v>967</v>
      </c>
      <c r="J382" s="47" t="s">
        <v>968</v>
      </c>
      <c r="K382" s="48"/>
      <c r="L382" s="49">
        <f t="shared" si="6"/>
        <v>3.3779308645013475</v>
      </c>
      <c r="M382" s="50"/>
      <c r="N382" s="50"/>
      <c r="O382" s="50"/>
      <c r="P382" s="50"/>
      <c r="Q382" s="50"/>
      <c r="R382" s="51"/>
      <c r="S382" s="44" t="s">
        <v>1510</v>
      </c>
      <c r="T382" s="6"/>
      <c r="U382" s="6"/>
      <c r="V382" s="6"/>
      <c r="W382" s="6"/>
      <c r="X382" s="6"/>
      <c r="Y382" s="6"/>
      <c r="Z382" s="6"/>
      <c r="AA382" s="6"/>
      <c r="AB382" s="6"/>
    </row>
    <row r="383" spans="1:28" ht="15">
      <c r="A383" s="20" t="s">
        <v>10</v>
      </c>
      <c r="B383" s="24" t="s">
        <v>58</v>
      </c>
      <c r="C383" s="25">
        <v>44233.546527777777</v>
      </c>
      <c r="D383" s="26" t="s">
        <v>969</v>
      </c>
      <c r="E383" s="26" t="s">
        <v>13</v>
      </c>
      <c r="F383" s="26" t="s">
        <v>14</v>
      </c>
      <c r="G383" s="26">
        <v>0.6</v>
      </c>
      <c r="H383" s="27">
        <v>56</v>
      </c>
      <c r="I383" s="26" t="s">
        <v>970</v>
      </c>
      <c r="J383" s="26" t="s">
        <v>971</v>
      </c>
      <c r="K383" s="27"/>
      <c r="L383" s="28">
        <f t="shared" si="6"/>
        <v>8.3008210341518215E-2</v>
      </c>
      <c r="M383" s="29"/>
      <c r="N383" s="30" t="s">
        <v>271</v>
      </c>
      <c r="O383" s="30" t="s">
        <v>23</v>
      </c>
      <c r="P383" s="30" t="s">
        <v>1498</v>
      </c>
      <c r="Q383" s="30" t="s">
        <v>1495</v>
      </c>
      <c r="R383" s="31" t="s">
        <v>1499</v>
      </c>
      <c r="S383" s="45">
        <f>(C382 - C383)*24</f>
        <v>1.4000000000232831</v>
      </c>
      <c r="T383" s="6"/>
      <c r="U383" s="6"/>
      <c r="V383" s="6"/>
      <c r="W383" s="6"/>
      <c r="X383" s="6"/>
      <c r="Y383" s="6"/>
      <c r="Z383" s="6"/>
      <c r="AA383" s="6"/>
      <c r="AB383" s="6"/>
    </row>
    <row r="384" spans="1:28" ht="15">
      <c r="A384" s="20" t="s">
        <v>10</v>
      </c>
      <c r="B384" s="32" t="s">
        <v>11</v>
      </c>
      <c r="C384" s="33">
        <v>44233.467361111114</v>
      </c>
      <c r="D384" s="19" t="s">
        <v>972</v>
      </c>
      <c r="E384" s="19" t="s">
        <v>13</v>
      </c>
      <c r="F384" s="19" t="s">
        <v>14</v>
      </c>
      <c r="G384" s="19">
        <v>11.6</v>
      </c>
      <c r="H384" s="34">
        <v>67</v>
      </c>
      <c r="I384" s="19" t="s">
        <v>973</v>
      </c>
      <c r="J384" s="19" t="s">
        <v>974</v>
      </c>
      <c r="K384" s="34"/>
      <c r="L384" s="36">
        <f t="shared" si="6"/>
        <v>38.922443848612367</v>
      </c>
      <c r="M384" s="37"/>
      <c r="N384" s="38" t="s">
        <v>1549</v>
      </c>
      <c r="O384" s="38" t="s">
        <v>1548</v>
      </c>
      <c r="P384" s="39">
        <f>SUM(L383:L386)</f>
        <v>81.425160569459322</v>
      </c>
      <c r="Q384" s="39">
        <f>AVERAGE(G384,G385)</f>
        <v>11.7</v>
      </c>
      <c r="R384" s="46">
        <f>(C383 - C386)*24</f>
        <v>3.8833333332440816</v>
      </c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ht="15">
      <c r="A385" s="20" t="s">
        <v>10</v>
      </c>
      <c r="B385" s="32" t="s">
        <v>33</v>
      </c>
      <c r="C385" s="33">
        <v>44233.404166666667</v>
      </c>
      <c r="D385" s="19" t="s">
        <v>975</v>
      </c>
      <c r="E385" s="19" t="s">
        <v>13</v>
      </c>
      <c r="F385" s="19" t="s">
        <v>14</v>
      </c>
      <c r="G385" s="19">
        <v>11.8</v>
      </c>
      <c r="H385" s="34">
        <v>61</v>
      </c>
      <c r="I385" s="19" t="s">
        <v>976</v>
      </c>
      <c r="J385" s="19" t="s">
        <v>977</v>
      </c>
      <c r="K385" s="34"/>
      <c r="L385" s="36">
        <f t="shared" si="6"/>
        <v>32.598339070376873</v>
      </c>
      <c r="M385" s="37"/>
      <c r="N385" s="37"/>
      <c r="O385" s="37"/>
      <c r="P385" s="37"/>
      <c r="Q385" s="37"/>
      <c r="R385" s="41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ht="15.75" thickBot="1">
      <c r="A386" s="20" t="s">
        <v>10</v>
      </c>
      <c r="B386" s="42" t="s">
        <v>49</v>
      </c>
      <c r="C386" s="43">
        <v>44233.384722222225</v>
      </c>
      <c r="D386" s="47" t="s">
        <v>978</v>
      </c>
      <c r="E386" s="47" t="s">
        <v>13</v>
      </c>
      <c r="F386" s="47" t="s">
        <v>14</v>
      </c>
      <c r="G386" s="47">
        <v>5.7</v>
      </c>
      <c r="H386" s="48">
        <v>94</v>
      </c>
      <c r="I386" s="47" t="s">
        <v>979</v>
      </c>
      <c r="J386" s="47" t="s">
        <v>980</v>
      </c>
      <c r="K386" s="48"/>
      <c r="L386" s="49">
        <f t="shared" si="6"/>
        <v>9.8213694401285601</v>
      </c>
      <c r="M386" s="50"/>
      <c r="N386" s="50"/>
      <c r="O386" s="50"/>
      <c r="P386" s="50"/>
      <c r="Q386" s="50"/>
      <c r="R386" s="51"/>
      <c r="S386" s="44" t="s">
        <v>1510</v>
      </c>
      <c r="T386" s="6"/>
      <c r="U386" s="6"/>
      <c r="V386" s="6"/>
      <c r="W386" s="6"/>
      <c r="X386" s="6"/>
      <c r="Y386" s="6"/>
      <c r="Z386" s="6"/>
      <c r="AA386" s="6"/>
      <c r="AB386" s="6"/>
    </row>
    <row r="387" spans="1:28" ht="15">
      <c r="A387" s="20" t="s">
        <v>10</v>
      </c>
      <c r="B387" s="24" t="s">
        <v>58</v>
      </c>
      <c r="C387" s="25">
        <v>44233.293749999997</v>
      </c>
      <c r="D387" s="26" t="s">
        <v>981</v>
      </c>
      <c r="E387" s="26" t="s">
        <v>13</v>
      </c>
      <c r="F387" s="26" t="s">
        <v>14</v>
      </c>
      <c r="G387" s="26">
        <v>0.7</v>
      </c>
      <c r="H387" s="27">
        <v>307</v>
      </c>
      <c r="I387" s="26" t="s">
        <v>982</v>
      </c>
      <c r="J387" s="26" t="s">
        <v>983</v>
      </c>
      <c r="K387" s="27"/>
      <c r="L387" s="28">
        <f t="shared" si="6"/>
        <v>0.31500671430692351</v>
      </c>
      <c r="M387" s="29"/>
      <c r="N387" s="30" t="s">
        <v>271</v>
      </c>
      <c r="O387" s="30" t="s">
        <v>23</v>
      </c>
      <c r="P387" s="30" t="s">
        <v>1498</v>
      </c>
      <c r="Q387" s="30" t="s">
        <v>1495</v>
      </c>
      <c r="R387" s="31" t="s">
        <v>1499</v>
      </c>
      <c r="S387" s="45">
        <f>(C386 - C387)*24</f>
        <v>2.1833333334652707</v>
      </c>
      <c r="T387" s="6"/>
      <c r="U387" s="6"/>
      <c r="V387" s="6"/>
      <c r="W387" s="6"/>
      <c r="X387" s="6"/>
      <c r="Y387" s="6"/>
      <c r="Z387" s="6"/>
      <c r="AA387" s="6"/>
      <c r="AB387" s="6"/>
    </row>
    <row r="388" spans="1:28" ht="15">
      <c r="A388" s="20" t="s">
        <v>10</v>
      </c>
      <c r="B388" s="32" t="s">
        <v>49</v>
      </c>
      <c r="C388" s="33">
        <v>44233.288194444445</v>
      </c>
      <c r="D388" s="19" t="s">
        <v>984</v>
      </c>
      <c r="E388" s="19" t="s">
        <v>13</v>
      </c>
      <c r="F388" s="19" t="s">
        <v>14</v>
      </c>
      <c r="G388" s="19">
        <v>4</v>
      </c>
      <c r="H388" s="34">
        <v>14</v>
      </c>
      <c r="I388" s="19" t="s">
        <v>985</v>
      </c>
      <c r="J388" s="19" t="s">
        <v>986</v>
      </c>
      <c r="K388" s="34"/>
      <c r="L388" s="36">
        <f t="shared" si="6"/>
        <v>0.69317776669045139</v>
      </c>
      <c r="M388" s="37"/>
      <c r="N388" s="38" t="s">
        <v>1530</v>
      </c>
      <c r="O388" s="38" t="s">
        <v>1549</v>
      </c>
      <c r="P388" s="39">
        <f>SUM(L387:L397)</f>
        <v>255.10794945521738</v>
      </c>
      <c r="Q388" s="39">
        <f>AVERAGE(G390,G394)</f>
        <v>11.3</v>
      </c>
      <c r="R388" s="46">
        <f>(C387 - C397)*24</f>
        <v>13.68333333323244</v>
      </c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ht="15">
      <c r="A389" s="20" t="s">
        <v>10</v>
      </c>
      <c r="B389" s="32" t="s">
        <v>58</v>
      </c>
      <c r="C389" s="33">
        <v>44233.284722222219</v>
      </c>
      <c r="D389" s="19" t="s">
        <v>987</v>
      </c>
      <c r="E389" s="19" t="s">
        <v>13</v>
      </c>
      <c r="F389" s="19" t="s">
        <v>14</v>
      </c>
      <c r="G389" s="19">
        <v>0.8</v>
      </c>
      <c r="H389" s="34">
        <v>95</v>
      </c>
      <c r="I389" s="19" t="s">
        <v>988</v>
      </c>
      <c r="J389" s="19" t="s">
        <v>989</v>
      </c>
      <c r="K389" s="34"/>
      <c r="L389" s="36">
        <f t="shared" si="6"/>
        <v>0.17779080117578044</v>
      </c>
      <c r="M389" s="37"/>
      <c r="N389" s="37"/>
      <c r="O389" s="37"/>
      <c r="P389" s="37"/>
      <c r="Q389" s="37"/>
      <c r="R389" s="41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ht="15">
      <c r="A390" s="20" t="s">
        <v>10</v>
      </c>
      <c r="B390" s="32" t="s">
        <v>359</v>
      </c>
      <c r="C390" s="33">
        <v>44233.211111111108</v>
      </c>
      <c r="D390" s="19" t="s">
        <v>396</v>
      </c>
      <c r="E390" s="19" t="s">
        <v>13</v>
      </c>
      <c r="F390" s="19" t="s">
        <v>14</v>
      </c>
      <c r="G390" s="19">
        <v>10.3</v>
      </c>
      <c r="H390" s="34">
        <v>55</v>
      </c>
      <c r="I390" s="19" t="s">
        <v>990</v>
      </c>
      <c r="J390" s="19" t="s">
        <v>991</v>
      </c>
      <c r="K390" s="34"/>
      <c r="L390" s="36">
        <f t="shared" si="6"/>
        <v>25.95374746507451</v>
      </c>
      <c r="M390" s="37"/>
      <c r="N390" s="37"/>
      <c r="O390" s="37"/>
      <c r="P390" s="37"/>
      <c r="Q390" s="37"/>
      <c r="R390" s="41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ht="15">
      <c r="A391" s="20" t="s">
        <v>10</v>
      </c>
      <c r="B391" s="32" t="s">
        <v>28</v>
      </c>
      <c r="C391" s="33">
        <v>44232.96597222222</v>
      </c>
      <c r="D391" s="19" t="s">
        <v>992</v>
      </c>
      <c r="E391" s="19" t="s">
        <v>13</v>
      </c>
      <c r="F391" s="19" t="s">
        <v>364</v>
      </c>
      <c r="G391" s="19">
        <v>12.4</v>
      </c>
      <c r="H391" s="34">
        <v>13</v>
      </c>
      <c r="I391" s="19" t="s">
        <v>993</v>
      </c>
      <c r="J391" s="19" t="s">
        <v>994</v>
      </c>
      <c r="K391" s="34"/>
      <c r="L391" s="36">
        <f t="shared" si="6"/>
        <v>121.06984098312046</v>
      </c>
      <c r="M391" s="37"/>
      <c r="N391" s="37"/>
      <c r="O391" s="37"/>
      <c r="P391" s="37"/>
      <c r="Q391" s="37"/>
      <c r="R391" s="41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ht="15">
      <c r="A392" s="20" t="s">
        <v>10</v>
      </c>
      <c r="B392" s="32" t="s">
        <v>359</v>
      </c>
      <c r="C392" s="33">
        <v>44232.868055555555</v>
      </c>
      <c r="D392" s="19" t="s">
        <v>480</v>
      </c>
      <c r="E392" s="19" t="s">
        <v>13</v>
      </c>
      <c r="F392" s="19" t="s">
        <v>364</v>
      </c>
      <c r="G392" s="19">
        <v>12.1</v>
      </c>
      <c r="H392" s="34">
        <v>346</v>
      </c>
      <c r="I392" s="19" t="s">
        <v>995</v>
      </c>
      <c r="J392" s="19" t="s">
        <v>996</v>
      </c>
      <c r="K392" s="34"/>
      <c r="L392" s="36">
        <f t="shared" si="6"/>
        <v>44.501312287049181</v>
      </c>
      <c r="M392" s="37"/>
      <c r="N392" s="37"/>
      <c r="O392" s="37"/>
      <c r="P392" s="37"/>
      <c r="Q392" s="37"/>
      <c r="R392" s="41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ht="15">
      <c r="A393" s="20" t="s">
        <v>10</v>
      </c>
      <c r="B393" s="32" t="s">
        <v>359</v>
      </c>
      <c r="C393" s="33">
        <v>44232.843055555553</v>
      </c>
      <c r="D393" s="19" t="s">
        <v>997</v>
      </c>
      <c r="E393" s="19" t="s">
        <v>13</v>
      </c>
      <c r="F393" s="19" t="s">
        <v>364</v>
      </c>
      <c r="G393" s="19">
        <v>12.3</v>
      </c>
      <c r="H393" s="34">
        <v>347</v>
      </c>
      <c r="I393" s="19" t="s">
        <v>998</v>
      </c>
      <c r="J393" s="19" t="s">
        <v>999</v>
      </c>
      <c r="K393" s="34"/>
      <c r="L393" s="36">
        <f t="shared" si="6"/>
        <v>13.600995794912224</v>
      </c>
      <c r="M393" s="37"/>
      <c r="N393" s="37"/>
      <c r="O393" s="37"/>
      <c r="P393" s="37"/>
      <c r="Q393" s="37"/>
      <c r="R393" s="41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ht="15">
      <c r="A394" s="20" t="s">
        <v>10</v>
      </c>
      <c r="B394" s="32" t="s">
        <v>359</v>
      </c>
      <c r="C394" s="33">
        <v>44232.843055555553</v>
      </c>
      <c r="D394" s="19" t="s">
        <v>1000</v>
      </c>
      <c r="E394" s="19" t="s">
        <v>13</v>
      </c>
      <c r="F394" s="19" t="s">
        <v>364</v>
      </c>
      <c r="G394" s="19">
        <v>12.3</v>
      </c>
      <c r="H394" s="34">
        <v>347</v>
      </c>
      <c r="I394" s="19" t="s">
        <v>998</v>
      </c>
      <c r="J394" s="19" t="s">
        <v>999</v>
      </c>
      <c r="K394" s="34"/>
      <c r="L394" s="36"/>
      <c r="M394" s="37"/>
      <c r="N394" s="37"/>
      <c r="O394" s="37"/>
      <c r="P394" s="37"/>
      <c r="Q394" s="37"/>
      <c r="R394" s="41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ht="15">
      <c r="A395" s="20" t="s">
        <v>10</v>
      </c>
      <c r="B395" s="32" t="s">
        <v>271</v>
      </c>
      <c r="C395" s="33">
        <v>44232.724999999999</v>
      </c>
      <c r="D395" s="19" t="s">
        <v>492</v>
      </c>
      <c r="E395" s="19" t="s">
        <v>13</v>
      </c>
      <c r="F395" s="19" t="s">
        <v>364</v>
      </c>
      <c r="G395" s="19">
        <v>0</v>
      </c>
      <c r="H395" s="34"/>
      <c r="I395" s="19" t="s">
        <v>1001</v>
      </c>
      <c r="J395" s="19" t="s">
        <v>1002</v>
      </c>
      <c r="K395" s="34"/>
      <c r="L395" s="36">
        <f>ACOS((SIN(I394*PI()/180)*SIN(I395*PI()/180)+COS(I394*PI()/180)*COS(I395*PI()/180)*COS(J395*PI()/180-J394*PI()/180)))*3443.8985*1.852</f>
        <v>48.796077642887845</v>
      </c>
      <c r="M395" s="37"/>
      <c r="N395" s="37"/>
      <c r="O395" s="37"/>
      <c r="P395" s="37"/>
      <c r="Q395" s="37"/>
      <c r="R395" s="41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ht="15">
      <c r="A396" s="20" t="s">
        <v>10</v>
      </c>
      <c r="B396" s="32" t="s">
        <v>21</v>
      </c>
      <c r="C396" s="33">
        <v>44232.723611111112</v>
      </c>
      <c r="D396" s="19" t="s">
        <v>273</v>
      </c>
      <c r="E396" s="19" t="s">
        <v>13</v>
      </c>
      <c r="F396" s="19" t="s">
        <v>364</v>
      </c>
      <c r="G396" s="19">
        <v>8</v>
      </c>
      <c r="H396" s="34">
        <v>289</v>
      </c>
      <c r="I396" s="19" t="s">
        <v>1001</v>
      </c>
      <c r="J396" s="19" t="s">
        <v>1002</v>
      </c>
      <c r="K396" s="34"/>
      <c r="L396" s="36"/>
      <c r="M396" s="37"/>
      <c r="N396" s="37"/>
      <c r="O396" s="37"/>
      <c r="P396" s="37"/>
      <c r="Q396" s="37"/>
      <c r="R396" s="41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ht="15.75" thickBot="1">
      <c r="A397" s="20" t="s">
        <v>10</v>
      </c>
      <c r="B397" s="42" t="s">
        <v>272</v>
      </c>
      <c r="C397" s="43">
        <v>44232.723611111112</v>
      </c>
      <c r="D397" s="47" t="s">
        <v>493</v>
      </c>
      <c r="E397" s="47" t="s">
        <v>13</v>
      </c>
      <c r="F397" s="47" t="s">
        <v>364</v>
      </c>
      <c r="G397" s="47">
        <v>0</v>
      </c>
      <c r="H397" s="48"/>
      <c r="I397" s="47" t="s">
        <v>25</v>
      </c>
      <c r="J397" s="47" t="s">
        <v>25</v>
      </c>
      <c r="K397" s="48"/>
      <c r="L397" s="49"/>
      <c r="M397" s="50"/>
      <c r="N397" s="50"/>
      <c r="O397" s="50"/>
      <c r="P397" s="50"/>
      <c r="Q397" s="50"/>
      <c r="R397" s="51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ht="15">
      <c r="A398" s="20" t="s">
        <v>10</v>
      </c>
      <c r="B398" s="24" t="s">
        <v>11</v>
      </c>
      <c r="C398" s="25">
        <v>44232.464583333334</v>
      </c>
      <c r="D398" s="26" t="s">
        <v>1003</v>
      </c>
      <c r="E398" s="26" t="s">
        <v>13</v>
      </c>
      <c r="F398" s="26" t="s">
        <v>364</v>
      </c>
      <c r="G398" s="26" t="s">
        <v>15</v>
      </c>
      <c r="H398" s="27">
        <v>104</v>
      </c>
      <c r="I398" s="26" t="s">
        <v>1004</v>
      </c>
      <c r="J398" s="26" t="s">
        <v>1005</v>
      </c>
      <c r="K398" s="27"/>
      <c r="L398" s="5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ht="15">
      <c r="A399" s="20" t="s">
        <v>10</v>
      </c>
      <c r="B399" s="32" t="s">
        <v>21</v>
      </c>
      <c r="C399" s="33">
        <v>44232.247916666667</v>
      </c>
      <c r="D399" s="19" t="s">
        <v>22</v>
      </c>
      <c r="E399" s="19" t="s">
        <v>13</v>
      </c>
      <c r="F399" s="19" t="s">
        <v>364</v>
      </c>
      <c r="G399" s="19" t="s">
        <v>15</v>
      </c>
      <c r="H399" s="34">
        <v>104</v>
      </c>
      <c r="I399" s="19" t="s">
        <v>874</v>
      </c>
      <c r="J399" s="19" t="s">
        <v>1006</v>
      </c>
      <c r="K399" s="34"/>
      <c r="L399" s="57">
        <f t="shared" ref="L399:L457" si="7">ACOS((SIN(I398*PI()/180)*SIN(I399*PI()/180)+COS(I398*PI()/180)*COS(I399*PI()/180)*COS(J399*PI()/180-J398*PI()/180)))*3443.8985*1.852</f>
        <v>3.3602101918234085E-3</v>
      </c>
      <c r="M399" s="67" t="s">
        <v>1530</v>
      </c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ht="15.75" thickBot="1">
      <c r="A400" s="20" t="s">
        <v>10</v>
      </c>
      <c r="B400" s="42" t="s">
        <v>26</v>
      </c>
      <c r="C400" s="43">
        <v>44232.241666666669</v>
      </c>
      <c r="D400" s="47" t="s">
        <v>493</v>
      </c>
      <c r="E400" s="47" t="s">
        <v>13</v>
      </c>
      <c r="F400" s="47" t="s">
        <v>364</v>
      </c>
      <c r="G400" s="47" t="s">
        <v>25</v>
      </c>
      <c r="H400" s="48"/>
      <c r="I400" s="47" t="s">
        <v>25</v>
      </c>
      <c r="J400" s="47" t="s">
        <v>25</v>
      </c>
      <c r="K400" s="48"/>
      <c r="L400" s="60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ht="15">
      <c r="A401" s="20" t="s">
        <v>10</v>
      </c>
      <c r="B401" s="24" t="s">
        <v>23</v>
      </c>
      <c r="C401" s="25">
        <v>44232.237500000003</v>
      </c>
      <c r="D401" s="26" t="s">
        <v>492</v>
      </c>
      <c r="E401" s="26" t="s">
        <v>13</v>
      </c>
      <c r="F401" s="26" t="s">
        <v>364</v>
      </c>
      <c r="G401" s="26" t="s">
        <v>25</v>
      </c>
      <c r="H401" s="27"/>
      <c r="I401" s="80" t="s">
        <v>702</v>
      </c>
      <c r="J401" s="80" t="s">
        <v>703</v>
      </c>
      <c r="K401" s="27"/>
      <c r="L401" s="28">
        <f>ACOS((SIN(I402*PI()/180)*SIN(I398*PI()/180)+COS(I402*PI()/180)*COS(I398*PI()/180)*COS(J398*PI()/180-J402*PI()/180)))*3443.8985*1.852</f>
        <v>44.74372875743606</v>
      </c>
      <c r="M401" s="29"/>
      <c r="N401" s="30" t="s">
        <v>271</v>
      </c>
      <c r="O401" s="30" t="s">
        <v>23</v>
      </c>
      <c r="P401" s="30" t="s">
        <v>1498</v>
      </c>
      <c r="Q401" s="30" t="s">
        <v>1495</v>
      </c>
      <c r="R401" s="31" t="s">
        <v>1499</v>
      </c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ht="15">
      <c r="A402" s="20" t="s">
        <v>10</v>
      </c>
      <c r="B402" s="32" t="s">
        <v>376</v>
      </c>
      <c r="C402" s="33">
        <v>44232.081944444442</v>
      </c>
      <c r="D402" s="19" t="s">
        <v>510</v>
      </c>
      <c r="E402" s="19" t="s">
        <v>13</v>
      </c>
      <c r="F402" s="19" t="s">
        <v>364</v>
      </c>
      <c r="G402" s="19">
        <v>9.6</v>
      </c>
      <c r="H402" s="34">
        <v>199</v>
      </c>
      <c r="I402" s="19" t="s">
        <v>1007</v>
      </c>
      <c r="J402" s="19" t="s">
        <v>1008</v>
      </c>
      <c r="K402" s="34"/>
      <c r="L402" s="36">
        <f>ACOS((SIN(I403*PI()/180)*SIN(I399*PI()/180)+COS(I403*PI()/180)*COS(I399*PI()/180)*COS(J399*PI()/180-J403*PI()/180)))*3443.8985*1.852</f>
        <v>44.740508266596649</v>
      </c>
      <c r="M402" s="37"/>
      <c r="N402" s="38" t="s">
        <v>1543</v>
      </c>
      <c r="O402" s="38" t="s">
        <v>1530</v>
      </c>
      <c r="P402" s="39">
        <f>SUM(L401:L405)</f>
        <v>167.43972732900428</v>
      </c>
      <c r="Q402" s="39">
        <f>AVERAGE(G402:G404)</f>
        <v>10.066666666666666</v>
      </c>
      <c r="R402" s="46">
        <f>(C401 - C405)*24</f>
        <v>8.5666666666511446</v>
      </c>
      <c r="S402" s="6"/>
      <c r="T402" s="6"/>
      <c r="U402" s="392" t="s">
        <v>1552</v>
      </c>
      <c r="V402" s="392"/>
      <c r="W402" s="392"/>
      <c r="X402" s="6"/>
      <c r="Y402" s="6"/>
      <c r="Z402" s="6"/>
      <c r="AA402" s="6"/>
      <c r="AB402" s="6"/>
    </row>
    <row r="403" spans="1:28" ht="15">
      <c r="A403" s="20" t="s">
        <v>10</v>
      </c>
      <c r="B403" s="32" t="s">
        <v>376</v>
      </c>
      <c r="C403" s="33">
        <v>44232.081944444442</v>
      </c>
      <c r="D403" s="19" t="s">
        <v>513</v>
      </c>
      <c r="E403" s="19" t="s">
        <v>13</v>
      </c>
      <c r="F403" s="19" t="s">
        <v>364</v>
      </c>
      <c r="G403" s="19">
        <v>9.6</v>
      </c>
      <c r="H403" s="34">
        <v>199</v>
      </c>
      <c r="I403" s="19" t="s">
        <v>1007</v>
      </c>
      <c r="J403" s="19" t="s">
        <v>1008</v>
      </c>
      <c r="K403" s="34"/>
      <c r="L403" s="36"/>
      <c r="M403" s="37"/>
      <c r="N403" s="37"/>
      <c r="O403" s="37"/>
      <c r="P403" s="37"/>
      <c r="Q403" s="37"/>
      <c r="R403" s="41"/>
      <c r="S403" s="6"/>
      <c r="T403" s="6"/>
      <c r="U403" s="52" t="s">
        <v>1498</v>
      </c>
      <c r="V403" s="52" t="s">
        <v>1512</v>
      </c>
      <c r="W403" s="52" t="s">
        <v>1513</v>
      </c>
      <c r="X403" s="6"/>
      <c r="Y403" s="6"/>
      <c r="Z403" s="6"/>
      <c r="AA403" s="6"/>
      <c r="AB403" s="6"/>
    </row>
    <row r="404" spans="1:28" ht="15">
      <c r="A404" s="20" t="s">
        <v>10</v>
      </c>
      <c r="B404" s="32" t="s">
        <v>28</v>
      </c>
      <c r="C404" s="33">
        <v>44231.96597222222</v>
      </c>
      <c r="D404" s="19" t="s">
        <v>1009</v>
      </c>
      <c r="E404" s="19" t="s">
        <v>13</v>
      </c>
      <c r="F404" s="19" t="s">
        <v>364</v>
      </c>
      <c r="G404" s="19">
        <v>11</v>
      </c>
      <c r="H404" s="34">
        <v>256</v>
      </c>
      <c r="I404" s="19" t="s">
        <v>1010</v>
      </c>
      <c r="J404" s="19" t="s">
        <v>1011</v>
      </c>
      <c r="K404" s="34"/>
      <c r="L404" s="36">
        <f>ACOS((SIN(I403*PI()/180)*SIN(I404*PI()/180)+COS(I403*PI()/180)*COS(I404*PI()/180)*COS(J404*PI()/180-J403*PI()/180)))*3443.8985*1.852</f>
        <v>40.759289783489372</v>
      </c>
      <c r="M404" s="37"/>
      <c r="N404" s="37"/>
      <c r="O404" s="37"/>
      <c r="P404" s="37"/>
      <c r="Q404" s="37"/>
      <c r="R404" s="41"/>
      <c r="S404" s="6"/>
      <c r="T404" s="6"/>
      <c r="U404" s="53">
        <f>SUM(P402)</f>
        <v>167.43972732900428</v>
      </c>
      <c r="V404" s="53">
        <f>SUM(R402)</f>
        <v>8.5666666666511446</v>
      </c>
      <c r="W404" s="53"/>
      <c r="X404" s="6"/>
      <c r="Y404" s="6"/>
      <c r="Z404" s="6"/>
      <c r="AA404" s="6"/>
      <c r="AB404" s="6"/>
    </row>
    <row r="405" spans="1:28" ht="15.75" thickBot="1">
      <c r="A405" s="20" t="s">
        <v>10</v>
      </c>
      <c r="B405" s="42" t="s">
        <v>271</v>
      </c>
      <c r="C405" s="43">
        <v>44231.880555555559</v>
      </c>
      <c r="D405" s="47" t="s">
        <v>713</v>
      </c>
      <c r="E405" s="47" t="s">
        <v>13</v>
      </c>
      <c r="F405" s="47" t="s">
        <v>364</v>
      </c>
      <c r="G405" s="47" t="s">
        <v>25</v>
      </c>
      <c r="H405" s="48"/>
      <c r="I405" s="82" t="s">
        <v>724</v>
      </c>
      <c r="J405" s="82" t="s">
        <v>725</v>
      </c>
      <c r="K405" s="48"/>
      <c r="L405" s="49">
        <f>ACOS((SIN(I404*PI()/180)*SIN(I405*PI()/180)+COS(I404*PI()/180)*COS(I405*PI()/180)*COS(J405*PI()/180-J404*PI()/180)))*3443.8985*1.852</f>
        <v>37.196200521482204</v>
      </c>
      <c r="M405" s="50"/>
      <c r="N405" s="50"/>
      <c r="O405" s="50"/>
      <c r="P405" s="50"/>
      <c r="Q405" s="50"/>
      <c r="R405" s="51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ht="15">
      <c r="A406" s="20" t="s">
        <v>10</v>
      </c>
      <c r="B406" s="24" t="s">
        <v>272</v>
      </c>
      <c r="C406" s="25">
        <v>44231.877083333333</v>
      </c>
      <c r="D406" s="26" t="s">
        <v>714</v>
      </c>
      <c r="E406" s="26" t="s">
        <v>13</v>
      </c>
      <c r="F406" s="26" t="s">
        <v>364</v>
      </c>
      <c r="G406" s="26" t="s">
        <v>25</v>
      </c>
      <c r="H406" s="27"/>
      <c r="I406" s="83" t="s">
        <v>724</v>
      </c>
      <c r="J406" s="83" t="s">
        <v>725</v>
      </c>
      <c r="K406" s="27"/>
      <c r="L406" s="56">
        <f>ACOS((SIN(I405*PI()/180)*SIN(I406*PI()/180)+COS(I405*PI()/180)*COS(I406*PI()/180)*COS(J406*PI()/180-J405*PI()/180)))*3443.8985*1.852</f>
        <v>0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ht="15">
      <c r="A407" s="20" t="s">
        <v>10</v>
      </c>
      <c r="B407" s="32" t="s">
        <v>155</v>
      </c>
      <c r="C407" s="33">
        <v>44231.872916666667</v>
      </c>
      <c r="D407" s="19" t="s">
        <v>1012</v>
      </c>
      <c r="E407" s="19" t="s">
        <v>13</v>
      </c>
      <c r="F407" s="19" t="s">
        <v>364</v>
      </c>
      <c r="G407" s="19" t="s">
        <v>15</v>
      </c>
      <c r="H407" s="34">
        <v>279</v>
      </c>
      <c r="I407" s="19" t="s">
        <v>1013</v>
      </c>
      <c r="J407" s="19" t="s">
        <v>1014</v>
      </c>
      <c r="K407" s="34"/>
      <c r="L407" s="57">
        <f>ACOS((SIN(I406*PI()/180)*SIN(I407*PI()/180)+COS(I406*PI()/180)*COS(I407*PI()/180)*COS(J407*PI()/180-J406*PI()/180)))*3443.8985*1.852</f>
        <v>4.4495172045553033E-2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ht="15">
      <c r="A408" s="20" t="s">
        <v>10</v>
      </c>
      <c r="B408" s="32" t="s">
        <v>21</v>
      </c>
      <c r="C408" s="33">
        <v>44231.87222222222</v>
      </c>
      <c r="D408" s="19" t="s">
        <v>273</v>
      </c>
      <c r="E408" s="19" t="s">
        <v>13</v>
      </c>
      <c r="F408" s="19" t="s">
        <v>364</v>
      </c>
      <c r="G408" s="19" t="s">
        <v>15</v>
      </c>
      <c r="H408" s="34">
        <v>279</v>
      </c>
      <c r="I408" s="19" t="s">
        <v>1013</v>
      </c>
      <c r="J408" s="19" t="s">
        <v>1014</v>
      </c>
      <c r="K408" s="34"/>
      <c r="L408" s="57">
        <f t="shared" si="7"/>
        <v>9.5041096538305277E-5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ht="15">
      <c r="A409" s="20" t="s">
        <v>10</v>
      </c>
      <c r="B409" s="32" t="s">
        <v>155</v>
      </c>
      <c r="C409" s="33">
        <v>44231.838194444441</v>
      </c>
      <c r="D409" s="19" t="s">
        <v>1015</v>
      </c>
      <c r="E409" s="19" t="s">
        <v>13</v>
      </c>
      <c r="F409" s="19" t="s">
        <v>364</v>
      </c>
      <c r="G409" s="19" t="s">
        <v>15</v>
      </c>
      <c r="H409" s="34">
        <v>279</v>
      </c>
      <c r="I409" s="19" t="s">
        <v>1013</v>
      </c>
      <c r="J409" s="19" t="s">
        <v>1016</v>
      </c>
      <c r="K409" s="34"/>
      <c r="L409" s="57">
        <f t="shared" si="7"/>
        <v>9.7850797825731846E-4</v>
      </c>
      <c r="M409" s="6" t="s">
        <v>1551</v>
      </c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ht="15">
      <c r="A410" s="20" t="s">
        <v>10</v>
      </c>
      <c r="B410" s="32" t="s">
        <v>159</v>
      </c>
      <c r="C410" s="33">
        <v>44231.561111111114</v>
      </c>
      <c r="D410" s="19" t="s">
        <v>1017</v>
      </c>
      <c r="E410" s="19" t="s">
        <v>13</v>
      </c>
      <c r="F410" s="19" t="s">
        <v>364</v>
      </c>
      <c r="G410" s="19" t="s">
        <v>15</v>
      </c>
      <c r="H410" s="34">
        <v>49</v>
      </c>
      <c r="I410" s="19" t="s">
        <v>1018</v>
      </c>
      <c r="J410" s="19" t="s">
        <v>1019</v>
      </c>
      <c r="K410" s="34"/>
      <c r="L410" s="57">
        <f t="shared" si="7"/>
        <v>2.312449682653104E-3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ht="15">
      <c r="A411" s="20" t="s">
        <v>10</v>
      </c>
      <c r="B411" s="32" t="s">
        <v>11</v>
      </c>
      <c r="C411" s="33">
        <v>44231.467361111114</v>
      </c>
      <c r="D411" s="19" t="s">
        <v>1020</v>
      </c>
      <c r="E411" s="19" t="s">
        <v>13</v>
      </c>
      <c r="F411" s="19" t="s">
        <v>364</v>
      </c>
      <c r="G411" s="19" t="s">
        <v>96</v>
      </c>
      <c r="H411" s="34">
        <v>231</v>
      </c>
      <c r="I411" s="19" t="s">
        <v>1018</v>
      </c>
      <c r="J411" s="19" t="s">
        <v>1021</v>
      </c>
      <c r="K411" s="34"/>
      <c r="L411" s="57">
        <f t="shared" si="7"/>
        <v>8.230800394464124E-4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ht="15">
      <c r="A412" s="20" t="s">
        <v>10</v>
      </c>
      <c r="B412" s="32" t="s">
        <v>21</v>
      </c>
      <c r="C412" s="33">
        <v>44231.296527777777</v>
      </c>
      <c r="D412" s="19" t="s">
        <v>22</v>
      </c>
      <c r="E412" s="19" t="s">
        <v>13</v>
      </c>
      <c r="F412" s="19" t="s">
        <v>364</v>
      </c>
      <c r="G412" s="19" t="s">
        <v>15</v>
      </c>
      <c r="H412" s="34">
        <v>335</v>
      </c>
      <c r="I412" s="19" t="s">
        <v>1022</v>
      </c>
      <c r="J412" s="19" t="s">
        <v>1023</v>
      </c>
      <c r="K412" s="34"/>
      <c r="L412" s="57">
        <f t="shared" si="7"/>
        <v>1.1205180029070761E-3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ht="15">
      <c r="A413" s="20" t="s">
        <v>10</v>
      </c>
      <c r="B413" s="32" t="s">
        <v>26</v>
      </c>
      <c r="C413" s="33">
        <v>44231.288888888892</v>
      </c>
      <c r="D413" s="19" t="s">
        <v>714</v>
      </c>
      <c r="E413" s="19" t="s">
        <v>13</v>
      </c>
      <c r="F413" s="19" t="s">
        <v>364</v>
      </c>
      <c r="G413" s="19" t="s">
        <v>25</v>
      </c>
      <c r="H413" s="34"/>
      <c r="I413" s="19" t="s">
        <v>25</v>
      </c>
      <c r="J413" s="19" t="s">
        <v>25</v>
      </c>
      <c r="K413" s="34"/>
      <c r="L413" s="57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ht="15.75" thickBot="1">
      <c r="A414" s="20" t="s">
        <v>10</v>
      </c>
      <c r="B414" s="42" t="s">
        <v>159</v>
      </c>
      <c r="C414" s="43">
        <v>44231.286111111112</v>
      </c>
      <c r="D414" s="47" t="s">
        <v>1024</v>
      </c>
      <c r="E414" s="47" t="s">
        <v>13</v>
      </c>
      <c r="F414" s="47" t="s">
        <v>364</v>
      </c>
      <c r="G414" s="47" t="s">
        <v>15</v>
      </c>
      <c r="H414" s="48">
        <v>335</v>
      </c>
      <c r="I414" s="47" t="s">
        <v>1013</v>
      </c>
      <c r="J414" s="47" t="s">
        <v>1025</v>
      </c>
      <c r="K414" s="48"/>
      <c r="L414" s="60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ht="15">
      <c r="A415" s="20" t="s">
        <v>10</v>
      </c>
      <c r="B415" s="24" t="s">
        <v>23</v>
      </c>
      <c r="C415" s="25">
        <v>44231.280555555553</v>
      </c>
      <c r="D415" s="26" t="s">
        <v>713</v>
      </c>
      <c r="E415" s="26" t="s">
        <v>13</v>
      </c>
      <c r="F415" s="26" t="s">
        <v>364</v>
      </c>
      <c r="G415" s="26" t="s">
        <v>25</v>
      </c>
      <c r="H415" s="27"/>
      <c r="I415" s="83" t="s">
        <v>724</v>
      </c>
      <c r="J415" s="83" t="s">
        <v>725</v>
      </c>
      <c r="K415" s="27"/>
      <c r="L415" s="28"/>
      <c r="M415" s="29"/>
      <c r="N415" s="30" t="s">
        <v>271</v>
      </c>
      <c r="O415" s="30" t="s">
        <v>23</v>
      </c>
      <c r="P415" s="30" t="s">
        <v>1498</v>
      </c>
      <c r="Q415" s="30" t="s">
        <v>1495</v>
      </c>
      <c r="R415" s="31" t="s">
        <v>1499</v>
      </c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ht="15">
      <c r="A416" s="20" t="s">
        <v>10</v>
      </c>
      <c r="B416" s="32" t="s">
        <v>28</v>
      </c>
      <c r="C416" s="33">
        <v>44230.967361111114</v>
      </c>
      <c r="D416" s="19" t="s">
        <v>1026</v>
      </c>
      <c r="E416" s="19" t="s">
        <v>13</v>
      </c>
      <c r="F416" s="19" t="s">
        <v>14</v>
      </c>
      <c r="G416" s="19">
        <v>12</v>
      </c>
      <c r="H416" s="34">
        <v>263</v>
      </c>
      <c r="I416" s="19" t="s">
        <v>1027</v>
      </c>
      <c r="J416" s="19" t="s">
        <v>1028</v>
      </c>
      <c r="K416" s="34"/>
      <c r="L416" s="36">
        <f t="shared" si="7"/>
        <v>111.43961162475095</v>
      </c>
      <c r="M416" s="37"/>
      <c r="N416" s="38" t="s">
        <v>1519</v>
      </c>
      <c r="O416" s="38" t="s">
        <v>1543</v>
      </c>
      <c r="P416" s="39">
        <f>SUM(L415:L419)</f>
        <v>146.57494280387951</v>
      </c>
      <c r="Q416" s="39">
        <f>AVERAGE(G416:G418)</f>
        <v>10.5</v>
      </c>
      <c r="R416" s="46">
        <f>(C415 - C419)*24</f>
        <v>9.283333333209157</v>
      </c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ht="15">
      <c r="A417" s="20" t="s">
        <v>10</v>
      </c>
      <c r="B417" s="32" t="s">
        <v>33</v>
      </c>
      <c r="C417" s="33">
        <v>44230.90347222222</v>
      </c>
      <c r="D417" s="19" t="s">
        <v>1029</v>
      </c>
      <c r="E417" s="19" t="s">
        <v>13</v>
      </c>
      <c r="F417" s="19" t="s">
        <v>14</v>
      </c>
      <c r="G417" s="19">
        <v>11.7</v>
      </c>
      <c r="H417" s="34">
        <v>271</v>
      </c>
      <c r="I417" s="19" t="s">
        <v>1030</v>
      </c>
      <c r="J417" s="19" t="s">
        <v>1031</v>
      </c>
      <c r="K417" s="34"/>
      <c r="L417" s="36">
        <f t="shared" si="7"/>
        <v>31.446780172413213</v>
      </c>
      <c r="M417" s="37"/>
      <c r="N417" s="37"/>
      <c r="O417" s="37"/>
      <c r="P417" s="37"/>
      <c r="Q417" s="37"/>
      <c r="R417" s="41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ht="15">
      <c r="A418" s="20" t="s">
        <v>10</v>
      </c>
      <c r="B418" s="32" t="s">
        <v>49</v>
      </c>
      <c r="C418" s="33">
        <v>44230.896527777775</v>
      </c>
      <c r="D418" s="19" t="s">
        <v>1032</v>
      </c>
      <c r="E418" s="19" t="s">
        <v>13</v>
      </c>
      <c r="F418" s="19" t="s">
        <v>14</v>
      </c>
      <c r="G418" s="19">
        <v>7.8</v>
      </c>
      <c r="H418" s="34">
        <v>1</v>
      </c>
      <c r="I418" s="19" t="s">
        <v>1033</v>
      </c>
      <c r="J418" s="19" t="s">
        <v>1034</v>
      </c>
      <c r="K418" s="34"/>
      <c r="L418" s="36">
        <f t="shared" si="7"/>
        <v>3.2685565186577872</v>
      </c>
      <c r="M418" s="37"/>
      <c r="N418" s="37"/>
      <c r="O418" s="37"/>
      <c r="P418" s="37"/>
      <c r="Q418" s="37"/>
      <c r="R418" s="41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ht="15.75" thickBot="1">
      <c r="A419" s="20" t="s">
        <v>10</v>
      </c>
      <c r="B419" s="42" t="s">
        <v>1035</v>
      </c>
      <c r="C419" s="43">
        <v>44230.893750000003</v>
      </c>
      <c r="D419" s="47" t="s">
        <v>1036</v>
      </c>
      <c r="E419" s="47" t="s">
        <v>13</v>
      </c>
      <c r="F419" s="47" t="s">
        <v>14</v>
      </c>
      <c r="G419" s="47">
        <v>0.4</v>
      </c>
      <c r="H419" s="48">
        <v>16</v>
      </c>
      <c r="I419" s="47" t="s">
        <v>1037</v>
      </c>
      <c r="J419" s="47" t="s">
        <v>1038</v>
      </c>
      <c r="K419" s="48"/>
      <c r="L419" s="49">
        <f t="shared" si="7"/>
        <v>0.41999448805755896</v>
      </c>
      <c r="M419" s="50"/>
      <c r="N419" s="50"/>
      <c r="O419" s="50"/>
      <c r="P419" s="50"/>
      <c r="Q419" s="50"/>
      <c r="R419" s="51"/>
      <c r="S419" s="44" t="s">
        <v>1510</v>
      </c>
      <c r="T419" s="6"/>
      <c r="U419" s="6"/>
      <c r="V419" s="6"/>
      <c r="W419" s="6"/>
      <c r="X419" s="6"/>
      <c r="Y419" s="6"/>
      <c r="Z419" s="6"/>
      <c r="AA419" s="6"/>
      <c r="AB419" s="6"/>
    </row>
    <row r="420" spans="1:28" ht="15">
      <c r="A420" s="20" t="s">
        <v>10</v>
      </c>
      <c r="B420" s="24" t="s">
        <v>58</v>
      </c>
      <c r="C420" s="25">
        <v>44230.847916666666</v>
      </c>
      <c r="D420" s="26" t="s">
        <v>1039</v>
      </c>
      <c r="E420" s="26" t="s">
        <v>13</v>
      </c>
      <c r="F420" s="26" t="s">
        <v>14</v>
      </c>
      <c r="G420" s="26">
        <v>0.1</v>
      </c>
      <c r="H420" s="27">
        <v>268</v>
      </c>
      <c r="I420" s="26" t="s">
        <v>1040</v>
      </c>
      <c r="J420" s="26" t="s">
        <v>1041</v>
      </c>
      <c r="K420" s="27"/>
      <c r="L420" s="28">
        <f t="shared" si="7"/>
        <v>5.3807363831016912E-2</v>
      </c>
      <c r="M420" s="29"/>
      <c r="N420" s="30" t="s">
        <v>271</v>
      </c>
      <c r="O420" s="30" t="s">
        <v>23</v>
      </c>
      <c r="P420" s="30" t="s">
        <v>1498</v>
      </c>
      <c r="Q420" s="30" t="s">
        <v>1495</v>
      </c>
      <c r="R420" s="31" t="s">
        <v>1499</v>
      </c>
      <c r="S420" s="45">
        <f>(C419 - C420)*24</f>
        <v>1.1000000000931323</v>
      </c>
      <c r="T420" s="6"/>
      <c r="U420" s="6"/>
      <c r="V420" s="6"/>
      <c r="W420" s="6"/>
      <c r="X420" s="6"/>
      <c r="Y420" s="6"/>
      <c r="Z420" s="6"/>
      <c r="AA420" s="6"/>
      <c r="AB420" s="6"/>
    </row>
    <row r="421" spans="1:28" ht="15">
      <c r="A421" s="20" t="s">
        <v>10</v>
      </c>
      <c r="B421" s="32" t="s">
        <v>1042</v>
      </c>
      <c r="C421" s="33">
        <v>44230.847222222219</v>
      </c>
      <c r="D421" s="19" t="s">
        <v>1043</v>
      </c>
      <c r="E421" s="19" t="s">
        <v>13</v>
      </c>
      <c r="F421" s="19" t="s">
        <v>14</v>
      </c>
      <c r="G421" s="19">
        <v>0.4</v>
      </c>
      <c r="H421" s="34">
        <v>57</v>
      </c>
      <c r="I421" s="19" t="s">
        <v>1044</v>
      </c>
      <c r="J421" s="19" t="s">
        <v>1045</v>
      </c>
      <c r="K421" s="34"/>
      <c r="L421" s="36">
        <f t="shared" si="7"/>
        <v>1.4581299068263992E-2</v>
      </c>
      <c r="M421" s="37"/>
      <c r="N421" s="38" t="s">
        <v>1553</v>
      </c>
      <c r="O421" s="38" t="s">
        <v>1519</v>
      </c>
      <c r="P421" s="39">
        <f>SUM(L420:L424)</f>
        <v>17.974363704125423</v>
      </c>
      <c r="Q421" s="39">
        <f>AVERAGE(G422:G423)</f>
        <v>8.9499999999999993</v>
      </c>
      <c r="R421" s="46">
        <f>(C420 - C424)*24</f>
        <v>1.03333333338378</v>
      </c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ht="15">
      <c r="A422" s="20" t="s">
        <v>10</v>
      </c>
      <c r="B422" s="32" t="s">
        <v>33</v>
      </c>
      <c r="C422" s="33">
        <v>44230.84375</v>
      </c>
      <c r="D422" s="19" t="s">
        <v>564</v>
      </c>
      <c r="E422" s="19" t="s">
        <v>13</v>
      </c>
      <c r="F422" s="19" t="s">
        <v>14</v>
      </c>
      <c r="G422" s="19">
        <v>6.1</v>
      </c>
      <c r="H422" s="34">
        <v>144</v>
      </c>
      <c r="I422" s="19" t="s">
        <v>1046</v>
      </c>
      <c r="J422" s="19" t="s">
        <v>1047</v>
      </c>
      <c r="K422" s="34"/>
      <c r="L422" s="36">
        <f t="shared" si="7"/>
        <v>0.54357626665869963</v>
      </c>
      <c r="M422" s="37"/>
      <c r="N422" s="37"/>
      <c r="O422" s="37"/>
      <c r="P422" s="37"/>
      <c r="Q422" s="37"/>
      <c r="R422" s="41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ht="15">
      <c r="A423" s="20" t="s">
        <v>10</v>
      </c>
      <c r="B423" s="32" t="s">
        <v>33</v>
      </c>
      <c r="C423" s="33">
        <v>44230.811805555553</v>
      </c>
      <c r="D423" s="19" t="s">
        <v>1048</v>
      </c>
      <c r="E423" s="19" t="s">
        <v>13</v>
      </c>
      <c r="F423" s="19" t="s">
        <v>14</v>
      </c>
      <c r="G423" s="19">
        <v>11.8</v>
      </c>
      <c r="H423" s="34">
        <v>85</v>
      </c>
      <c r="I423" s="19" t="s">
        <v>1049</v>
      </c>
      <c r="J423" s="19" t="s">
        <v>1050</v>
      </c>
      <c r="K423" s="34"/>
      <c r="L423" s="36">
        <f t="shared" si="7"/>
        <v>15.598342079560217</v>
      </c>
      <c r="M423" s="37"/>
      <c r="N423" s="37"/>
      <c r="O423" s="37"/>
      <c r="P423" s="37"/>
      <c r="Q423" s="37"/>
      <c r="R423" s="41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ht="15.75" thickBot="1">
      <c r="A424" s="20" t="s">
        <v>10</v>
      </c>
      <c r="B424" s="42" t="s">
        <v>49</v>
      </c>
      <c r="C424" s="43">
        <v>44230.804861111108</v>
      </c>
      <c r="D424" s="47" t="s">
        <v>1051</v>
      </c>
      <c r="E424" s="47" t="s">
        <v>13</v>
      </c>
      <c r="F424" s="47" t="s">
        <v>14</v>
      </c>
      <c r="G424" s="47">
        <v>4.2</v>
      </c>
      <c r="H424" s="48">
        <v>222</v>
      </c>
      <c r="I424" s="47" t="s">
        <v>1052</v>
      </c>
      <c r="J424" s="47" t="s">
        <v>1053</v>
      </c>
      <c r="K424" s="48"/>
      <c r="L424" s="49">
        <f t="shared" si="7"/>
        <v>1.7640566950072261</v>
      </c>
      <c r="M424" s="50"/>
      <c r="N424" s="50"/>
      <c r="O424" s="50"/>
      <c r="P424" s="50"/>
      <c r="Q424" s="50"/>
      <c r="R424" s="51"/>
      <c r="S424" s="44" t="s">
        <v>1510</v>
      </c>
      <c r="T424" s="6"/>
      <c r="U424" s="6"/>
      <c r="V424" s="6"/>
      <c r="W424" s="6"/>
      <c r="X424" s="6"/>
      <c r="Y424" s="6"/>
      <c r="Z424" s="6"/>
      <c r="AA424" s="6"/>
      <c r="AB424" s="6"/>
    </row>
    <row r="425" spans="1:28" ht="15">
      <c r="A425" s="20" t="s">
        <v>10</v>
      </c>
      <c r="B425" s="24" t="s">
        <v>58</v>
      </c>
      <c r="C425" s="25">
        <v>44230.734722222223</v>
      </c>
      <c r="D425" s="26" t="s">
        <v>1054</v>
      </c>
      <c r="E425" s="26" t="s">
        <v>13</v>
      </c>
      <c r="F425" s="26" t="s">
        <v>14</v>
      </c>
      <c r="G425" s="26">
        <v>0</v>
      </c>
      <c r="H425" s="27">
        <v>127</v>
      </c>
      <c r="I425" s="26" t="s">
        <v>1055</v>
      </c>
      <c r="J425" s="26" t="s">
        <v>1056</v>
      </c>
      <c r="K425" s="27"/>
      <c r="L425" s="28">
        <f t="shared" si="7"/>
        <v>0.26224702703281144</v>
      </c>
      <c r="M425" s="29"/>
      <c r="N425" s="30" t="s">
        <v>271</v>
      </c>
      <c r="O425" s="30" t="s">
        <v>23</v>
      </c>
      <c r="P425" s="30" t="s">
        <v>1498</v>
      </c>
      <c r="Q425" s="30" t="s">
        <v>1495</v>
      </c>
      <c r="R425" s="31" t="s">
        <v>1499</v>
      </c>
      <c r="S425" s="45">
        <f>(C424 - C425)*24</f>
        <v>1.6833333332324401</v>
      </c>
      <c r="T425" s="6"/>
      <c r="U425" s="6"/>
      <c r="V425" s="6"/>
      <c r="W425" s="6"/>
      <c r="X425" s="6"/>
      <c r="Y425" s="6"/>
      <c r="Z425" s="6"/>
      <c r="AA425" s="6"/>
      <c r="AB425" s="6"/>
    </row>
    <row r="426" spans="1:28" ht="15">
      <c r="A426" s="20" t="s">
        <v>10</v>
      </c>
      <c r="B426" s="32" t="s">
        <v>33</v>
      </c>
      <c r="C426" s="33">
        <v>44230.710416666669</v>
      </c>
      <c r="D426" s="19" t="s">
        <v>414</v>
      </c>
      <c r="E426" s="19" t="s">
        <v>13</v>
      </c>
      <c r="F426" s="19" t="s">
        <v>14</v>
      </c>
      <c r="G426" s="19">
        <v>12.7</v>
      </c>
      <c r="H426" s="34">
        <v>46</v>
      </c>
      <c r="I426" s="19" t="s">
        <v>1057</v>
      </c>
      <c r="J426" s="19" t="s">
        <v>1058</v>
      </c>
      <c r="K426" s="34"/>
      <c r="L426" s="36">
        <f t="shared" si="7"/>
        <v>11.251773158847778</v>
      </c>
      <c r="M426" s="37"/>
      <c r="N426" s="38" t="s">
        <v>1522</v>
      </c>
      <c r="O426" s="38" t="s">
        <v>1553</v>
      </c>
      <c r="P426" s="39">
        <f>SUM(L425:L428)</f>
        <v>14.543122687797414</v>
      </c>
      <c r="Q426" s="39">
        <f>AVERAGE(G426:G428)</f>
        <v>9.7999999999999989</v>
      </c>
      <c r="R426" s="46">
        <f>(C425 - C428)*24</f>
        <v>0.75</v>
      </c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ht="15">
      <c r="A427" s="20" t="s">
        <v>10</v>
      </c>
      <c r="B427" s="32" t="s">
        <v>359</v>
      </c>
      <c r="C427" s="33">
        <v>44230.710416666669</v>
      </c>
      <c r="D427" s="19" t="s">
        <v>396</v>
      </c>
      <c r="E427" s="19" t="s">
        <v>13</v>
      </c>
      <c r="F427" s="19" t="s">
        <v>14</v>
      </c>
      <c r="G427" s="19">
        <v>12.7</v>
      </c>
      <c r="H427" s="34">
        <v>46</v>
      </c>
      <c r="I427" s="19" t="s">
        <v>1057</v>
      </c>
      <c r="J427" s="19" t="s">
        <v>1058</v>
      </c>
      <c r="K427" s="34"/>
      <c r="L427" s="36">
        <f t="shared" si="7"/>
        <v>0</v>
      </c>
      <c r="M427" s="37"/>
      <c r="N427" s="37"/>
      <c r="O427" s="37"/>
      <c r="P427" s="37"/>
      <c r="Q427" s="37"/>
      <c r="R427" s="41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ht="15.75" thickBot="1">
      <c r="A428" s="20" t="s">
        <v>10</v>
      </c>
      <c r="B428" s="42" t="s">
        <v>49</v>
      </c>
      <c r="C428" s="43">
        <v>44230.703472222223</v>
      </c>
      <c r="D428" s="47" t="s">
        <v>1059</v>
      </c>
      <c r="E428" s="47" t="s">
        <v>13</v>
      </c>
      <c r="F428" s="47" t="s">
        <v>364</v>
      </c>
      <c r="G428" s="47">
        <v>4</v>
      </c>
      <c r="H428" s="48">
        <v>334</v>
      </c>
      <c r="I428" s="47" t="s">
        <v>1060</v>
      </c>
      <c r="J428" s="47" t="s">
        <v>1061</v>
      </c>
      <c r="K428" s="48"/>
      <c r="L428" s="49">
        <f t="shared" si="7"/>
        <v>3.0291025019168236</v>
      </c>
      <c r="M428" s="50"/>
      <c r="N428" s="50"/>
      <c r="O428" s="50"/>
      <c r="P428" s="50"/>
      <c r="Q428" s="50"/>
      <c r="R428" s="51"/>
      <c r="S428" s="44" t="s">
        <v>1510</v>
      </c>
      <c r="T428" s="6"/>
      <c r="U428" s="6"/>
      <c r="V428" s="6"/>
      <c r="W428" s="6"/>
      <c r="X428" s="6"/>
      <c r="Y428" s="6"/>
      <c r="Z428" s="6"/>
      <c r="AA428" s="6"/>
      <c r="AB428" s="6"/>
    </row>
    <row r="429" spans="1:28" ht="15">
      <c r="A429" s="20" t="s">
        <v>10</v>
      </c>
      <c r="B429" s="24" t="s">
        <v>58</v>
      </c>
      <c r="C429" s="25">
        <v>44230.634027777778</v>
      </c>
      <c r="D429" s="26" t="s">
        <v>1062</v>
      </c>
      <c r="E429" s="26" t="s">
        <v>13</v>
      </c>
      <c r="F429" s="26" t="s">
        <v>364</v>
      </c>
      <c r="G429" s="26">
        <v>0.3</v>
      </c>
      <c r="H429" s="27">
        <v>351</v>
      </c>
      <c r="I429" s="26" t="s">
        <v>1063</v>
      </c>
      <c r="J429" s="26" t="s">
        <v>1064</v>
      </c>
      <c r="K429" s="27"/>
      <c r="L429" s="28">
        <f t="shared" si="7"/>
        <v>0.10384695759143225</v>
      </c>
      <c r="M429" s="29"/>
      <c r="N429" s="30" t="s">
        <v>271</v>
      </c>
      <c r="O429" s="30" t="s">
        <v>23</v>
      </c>
      <c r="P429" s="30" t="s">
        <v>1498</v>
      </c>
      <c r="Q429" s="30" t="s">
        <v>1495</v>
      </c>
      <c r="R429" s="31" t="s">
        <v>1499</v>
      </c>
      <c r="S429" s="45">
        <f>(C428 - C429)*24</f>
        <v>1.6666666666860692</v>
      </c>
      <c r="T429" s="6"/>
      <c r="U429" s="392" t="s">
        <v>1550</v>
      </c>
      <c r="V429" s="392"/>
      <c r="W429" s="392"/>
      <c r="X429" s="6"/>
      <c r="Y429" s="6"/>
      <c r="Z429" s="6"/>
      <c r="AA429" s="6"/>
      <c r="AB429" s="6"/>
    </row>
    <row r="430" spans="1:28" ht="15">
      <c r="A430" s="20" t="s">
        <v>10</v>
      </c>
      <c r="B430" s="32" t="s">
        <v>33</v>
      </c>
      <c r="C430" s="33">
        <v>44230.628472222219</v>
      </c>
      <c r="D430" s="19" t="s">
        <v>1065</v>
      </c>
      <c r="E430" s="19" t="s">
        <v>13</v>
      </c>
      <c r="F430" s="19" t="s">
        <v>364</v>
      </c>
      <c r="G430" s="19">
        <v>12.4</v>
      </c>
      <c r="H430" s="34">
        <v>21</v>
      </c>
      <c r="I430" s="19" t="s">
        <v>1066</v>
      </c>
      <c r="J430" s="19" t="s">
        <v>1067</v>
      </c>
      <c r="K430" s="34"/>
      <c r="L430" s="36">
        <f t="shared" si="7"/>
        <v>1.535204640451326</v>
      </c>
      <c r="M430" s="37"/>
      <c r="N430" s="38" t="s">
        <v>1523</v>
      </c>
      <c r="O430" s="38" t="s">
        <v>1522</v>
      </c>
      <c r="P430" s="39">
        <f>SUM(L429:L431)</f>
        <v>4.8659241961057962</v>
      </c>
      <c r="Q430" s="39">
        <f>AVERAGE(G430:G430)</f>
        <v>12.4</v>
      </c>
      <c r="R430" s="46">
        <f>(C429 - C431)*24</f>
        <v>0.31666666665114462</v>
      </c>
      <c r="S430" s="6"/>
      <c r="T430" s="6"/>
      <c r="U430" s="52" t="s">
        <v>1498</v>
      </c>
      <c r="V430" s="52" t="s">
        <v>1512</v>
      </c>
      <c r="W430" s="52" t="s">
        <v>1513</v>
      </c>
      <c r="X430" s="6"/>
      <c r="Y430" s="6"/>
      <c r="Z430" s="6"/>
      <c r="AA430" s="6"/>
      <c r="AB430" s="6"/>
    </row>
    <row r="431" spans="1:28" ht="15.75" thickBot="1">
      <c r="A431" s="20" t="s">
        <v>10</v>
      </c>
      <c r="B431" s="42" t="s">
        <v>49</v>
      </c>
      <c r="C431" s="43">
        <v>44230.620833333334</v>
      </c>
      <c r="D431" s="47" t="s">
        <v>1068</v>
      </c>
      <c r="E431" s="47" t="s">
        <v>13</v>
      </c>
      <c r="F431" s="47" t="s">
        <v>364</v>
      </c>
      <c r="G431" s="47">
        <v>3.9</v>
      </c>
      <c r="H431" s="48">
        <v>56</v>
      </c>
      <c r="I431" s="47" t="s">
        <v>1069</v>
      </c>
      <c r="J431" s="47" t="s">
        <v>1070</v>
      </c>
      <c r="K431" s="48"/>
      <c r="L431" s="49">
        <f t="shared" si="7"/>
        <v>3.2268725980630384</v>
      </c>
      <c r="M431" s="50"/>
      <c r="N431" s="50"/>
      <c r="O431" s="50"/>
      <c r="P431" s="50"/>
      <c r="Q431" s="50"/>
      <c r="R431" s="51"/>
      <c r="S431" s="44" t="s">
        <v>1510</v>
      </c>
      <c r="T431" s="6"/>
      <c r="U431" s="53">
        <f>SUM(P416,P421,P426,P430,P433,P436,P446)</f>
        <v>465.71980871258449</v>
      </c>
      <c r="V431" s="53">
        <f>SUM(R416,R421,R426,R430,R433,R436,R446)</f>
        <v>25.983333333162591</v>
      </c>
      <c r="W431" s="53">
        <f>SUM(S420,S425,S429,S432,S435,S445)</f>
        <v>7.3666666667559184</v>
      </c>
      <c r="X431" s="6"/>
      <c r="Y431" s="6"/>
      <c r="Z431" s="6"/>
      <c r="AA431" s="6"/>
      <c r="AB431" s="6"/>
    </row>
    <row r="432" spans="1:28" ht="15">
      <c r="A432" s="20" t="s">
        <v>10</v>
      </c>
      <c r="B432" s="24" t="s">
        <v>58</v>
      </c>
      <c r="C432" s="25">
        <v>44230.574305555558</v>
      </c>
      <c r="D432" s="26" t="s">
        <v>1071</v>
      </c>
      <c r="E432" s="26" t="s">
        <v>13</v>
      </c>
      <c r="F432" s="26" t="s">
        <v>364</v>
      </c>
      <c r="G432" s="26">
        <v>0.3</v>
      </c>
      <c r="H432" s="27">
        <v>84</v>
      </c>
      <c r="I432" s="26" t="s">
        <v>1072</v>
      </c>
      <c r="J432" s="26" t="s">
        <v>1073</v>
      </c>
      <c r="K432" s="27"/>
      <c r="L432" s="28">
        <f t="shared" si="7"/>
        <v>9.5400622279900954E-2</v>
      </c>
      <c r="M432" s="29"/>
      <c r="N432" s="30" t="s">
        <v>271</v>
      </c>
      <c r="O432" s="30" t="s">
        <v>23</v>
      </c>
      <c r="P432" s="30" t="s">
        <v>1498</v>
      </c>
      <c r="Q432" s="30" t="s">
        <v>1495</v>
      </c>
      <c r="R432" s="31" t="s">
        <v>1499</v>
      </c>
      <c r="S432" s="45">
        <f>(C431 - C432)*24</f>
        <v>1.1166666666395031</v>
      </c>
      <c r="T432" s="6"/>
      <c r="U432" s="6"/>
      <c r="V432" s="6"/>
      <c r="W432" s="6"/>
      <c r="X432" s="6"/>
      <c r="Y432" s="6"/>
      <c r="Z432" s="6"/>
      <c r="AA432" s="6"/>
      <c r="AB432" s="6"/>
    </row>
    <row r="433" spans="1:28" ht="15">
      <c r="A433" s="20" t="s">
        <v>10</v>
      </c>
      <c r="B433" s="32" t="s">
        <v>33</v>
      </c>
      <c r="C433" s="33">
        <v>44230.565972222219</v>
      </c>
      <c r="D433" s="19" t="s">
        <v>1074</v>
      </c>
      <c r="E433" s="19" t="s">
        <v>13</v>
      </c>
      <c r="F433" s="19" t="s">
        <v>364</v>
      </c>
      <c r="G433" s="19">
        <v>11.9</v>
      </c>
      <c r="H433" s="34">
        <v>55</v>
      </c>
      <c r="I433" s="19" t="s">
        <v>1075</v>
      </c>
      <c r="J433" s="19" t="s">
        <v>1076</v>
      </c>
      <c r="K433" s="34"/>
      <c r="L433" s="36">
        <f t="shared" si="7"/>
        <v>3.0248576842600055</v>
      </c>
      <c r="M433" s="37"/>
      <c r="N433" s="38" t="s">
        <v>1524</v>
      </c>
      <c r="O433" s="38" t="s">
        <v>1523</v>
      </c>
      <c r="P433" s="39">
        <f>SUM(L432:L434)</f>
        <v>8.2058083534308661</v>
      </c>
      <c r="Q433" s="39">
        <f>AVERAGE(G433:G434)</f>
        <v>9.15</v>
      </c>
      <c r="R433" s="46">
        <f>(C432 - C434)*24</f>
        <v>0.50000000005820766</v>
      </c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ht="15.75" thickBot="1">
      <c r="A434" s="20" t="s">
        <v>10</v>
      </c>
      <c r="B434" s="42" t="s">
        <v>49</v>
      </c>
      <c r="C434" s="43">
        <v>44230.553472222222</v>
      </c>
      <c r="D434" s="47" t="s">
        <v>1077</v>
      </c>
      <c r="E434" s="47" t="s">
        <v>13</v>
      </c>
      <c r="F434" s="47" t="s">
        <v>364</v>
      </c>
      <c r="G434" s="47">
        <v>6.4</v>
      </c>
      <c r="H434" s="48">
        <v>91</v>
      </c>
      <c r="I434" s="47" t="s">
        <v>1079</v>
      </c>
      <c r="J434" s="47" t="s">
        <v>1080</v>
      </c>
      <c r="K434" s="48"/>
      <c r="L434" s="49">
        <f t="shared" si="7"/>
        <v>5.0855500468909591</v>
      </c>
      <c r="M434" s="50"/>
      <c r="N434" s="50"/>
      <c r="O434" s="50"/>
      <c r="P434" s="50"/>
      <c r="Q434" s="50"/>
      <c r="R434" s="51"/>
      <c r="S434" s="44" t="s">
        <v>1510</v>
      </c>
      <c r="T434" s="6"/>
      <c r="U434" s="6"/>
      <c r="V434" s="6"/>
      <c r="W434" s="6"/>
      <c r="X434" s="6"/>
      <c r="Y434" s="6"/>
      <c r="Z434" s="6"/>
      <c r="AA434" s="6"/>
      <c r="AB434" s="6"/>
    </row>
    <row r="435" spans="1:28" ht="15">
      <c r="A435" s="20" t="s">
        <v>10</v>
      </c>
      <c r="B435" s="24" t="s">
        <v>58</v>
      </c>
      <c r="C435" s="25">
        <v>44230.503472222219</v>
      </c>
      <c r="D435" s="26" t="s">
        <v>1081</v>
      </c>
      <c r="E435" s="26" t="s">
        <v>13</v>
      </c>
      <c r="F435" s="26" t="s">
        <v>364</v>
      </c>
      <c r="G435" s="26">
        <v>0.3</v>
      </c>
      <c r="H435" s="27">
        <v>104</v>
      </c>
      <c r="I435" s="26" t="s">
        <v>1082</v>
      </c>
      <c r="J435" s="26" t="s">
        <v>1083</v>
      </c>
      <c r="K435" s="27"/>
      <c r="L435" s="28">
        <f t="shared" si="7"/>
        <v>0.22547802608517467</v>
      </c>
      <c r="M435" s="29"/>
      <c r="N435" s="30" t="s">
        <v>271</v>
      </c>
      <c r="O435" s="30" t="s">
        <v>23</v>
      </c>
      <c r="P435" s="30" t="s">
        <v>1498</v>
      </c>
      <c r="Q435" s="30" t="s">
        <v>1495</v>
      </c>
      <c r="R435" s="31" t="s">
        <v>1499</v>
      </c>
      <c r="S435" s="45">
        <f>(C434 - C435)*24</f>
        <v>1.2000000000698492</v>
      </c>
      <c r="T435" s="6"/>
      <c r="U435" s="6"/>
      <c r="V435" s="6"/>
      <c r="W435" s="6"/>
      <c r="X435" s="6"/>
      <c r="Y435" s="6"/>
      <c r="Z435" s="6"/>
      <c r="AA435" s="6"/>
      <c r="AB435" s="6"/>
    </row>
    <row r="436" spans="1:28" ht="15">
      <c r="A436" s="20" t="s">
        <v>10</v>
      </c>
      <c r="B436" s="32" t="s">
        <v>359</v>
      </c>
      <c r="C436" s="33">
        <v>44230.46875</v>
      </c>
      <c r="D436" s="19" t="s">
        <v>396</v>
      </c>
      <c r="E436" s="19" t="s">
        <v>13</v>
      </c>
      <c r="F436" s="19" t="s">
        <v>14</v>
      </c>
      <c r="G436" s="19">
        <v>12</v>
      </c>
      <c r="H436" s="34">
        <v>57</v>
      </c>
      <c r="I436" s="19" t="s">
        <v>1084</v>
      </c>
      <c r="J436" s="19" t="s">
        <v>1085</v>
      </c>
      <c r="K436" s="34"/>
      <c r="L436" s="36">
        <f t="shared" si="7"/>
        <v>11.91379494994437</v>
      </c>
      <c r="M436" s="37"/>
      <c r="N436" s="38" t="s">
        <v>1527</v>
      </c>
      <c r="O436" s="38" t="s">
        <v>1524</v>
      </c>
      <c r="P436" s="39">
        <f>SUM(L435:L444)</f>
        <v>89.886641475371505</v>
      </c>
      <c r="Q436" s="39">
        <f>AVERAGE(G436:G443)</f>
        <v>12.05</v>
      </c>
      <c r="R436" s="46">
        <f>(C435 - C444)*24</f>
        <v>4.4166666665696539</v>
      </c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ht="15">
      <c r="A437" s="20" t="s">
        <v>10</v>
      </c>
      <c r="B437" s="32" t="s">
        <v>11</v>
      </c>
      <c r="C437" s="33">
        <v>44230.467361111114</v>
      </c>
      <c r="D437" s="19" t="s">
        <v>1086</v>
      </c>
      <c r="E437" s="19" t="s">
        <v>13</v>
      </c>
      <c r="F437" s="19" t="s">
        <v>14</v>
      </c>
      <c r="G437" s="19">
        <v>12</v>
      </c>
      <c r="H437" s="34">
        <v>56</v>
      </c>
      <c r="I437" s="19" t="s">
        <v>1087</v>
      </c>
      <c r="J437" s="19" t="s">
        <v>1088</v>
      </c>
      <c r="K437" s="34"/>
      <c r="L437" s="36">
        <f t="shared" si="7"/>
        <v>0.44619963812782387</v>
      </c>
      <c r="M437" s="37"/>
      <c r="N437" s="37"/>
      <c r="O437" s="37"/>
      <c r="P437" s="37"/>
      <c r="Q437" s="37"/>
      <c r="R437" s="41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ht="15">
      <c r="A438" s="20" t="s">
        <v>10</v>
      </c>
      <c r="B438" s="32" t="s">
        <v>33</v>
      </c>
      <c r="C438" s="33">
        <v>44230.402777777781</v>
      </c>
      <c r="D438" s="19" t="s">
        <v>1089</v>
      </c>
      <c r="E438" s="19" t="s">
        <v>13</v>
      </c>
      <c r="F438" s="19" t="s">
        <v>364</v>
      </c>
      <c r="G438" s="19">
        <v>11.4</v>
      </c>
      <c r="H438" s="34">
        <v>63</v>
      </c>
      <c r="I438" s="19" t="s">
        <v>1090</v>
      </c>
      <c r="J438" s="19" t="s">
        <v>1091</v>
      </c>
      <c r="K438" s="34"/>
      <c r="L438" s="36">
        <f t="shared" si="7"/>
        <v>34.553311770725003</v>
      </c>
      <c r="M438" s="37"/>
      <c r="N438" s="37"/>
      <c r="O438" s="37"/>
      <c r="P438" s="37"/>
      <c r="Q438" s="37"/>
      <c r="R438" s="41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ht="15">
      <c r="A439" s="20" t="s">
        <v>10</v>
      </c>
      <c r="B439" s="32" t="s">
        <v>33</v>
      </c>
      <c r="C439" s="33">
        <v>44230.395138888889</v>
      </c>
      <c r="D439" s="19" t="s">
        <v>632</v>
      </c>
      <c r="E439" s="19" t="s">
        <v>13</v>
      </c>
      <c r="F439" s="19" t="s">
        <v>364</v>
      </c>
      <c r="G439" s="19">
        <v>11.8</v>
      </c>
      <c r="H439" s="34">
        <v>17</v>
      </c>
      <c r="I439" s="19" t="s">
        <v>1092</v>
      </c>
      <c r="J439" s="19" t="s">
        <v>1093</v>
      </c>
      <c r="K439" s="34"/>
      <c r="L439" s="36">
        <f t="shared" si="7"/>
        <v>3.4215563707893777</v>
      </c>
      <c r="M439" s="37"/>
      <c r="N439" s="37"/>
      <c r="O439" s="37"/>
      <c r="P439" s="37"/>
      <c r="Q439" s="37"/>
      <c r="R439" s="41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ht="15">
      <c r="A440" s="20" t="s">
        <v>10</v>
      </c>
      <c r="B440" s="32" t="s">
        <v>33</v>
      </c>
      <c r="C440" s="33">
        <v>44230.385416666664</v>
      </c>
      <c r="D440" s="19" t="s">
        <v>1094</v>
      </c>
      <c r="E440" s="19" t="s">
        <v>13</v>
      </c>
      <c r="F440" s="19" t="s">
        <v>364</v>
      </c>
      <c r="G440" s="19">
        <v>11.6</v>
      </c>
      <c r="H440" s="34">
        <v>346</v>
      </c>
      <c r="I440" s="19" t="s">
        <v>1095</v>
      </c>
      <c r="J440" s="19" t="s">
        <v>1096</v>
      </c>
      <c r="K440" s="34"/>
      <c r="L440" s="36">
        <f t="shared" si="7"/>
        <v>5.1734537326985004</v>
      </c>
      <c r="M440" s="37"/>
      <c r="N440" s="37"/>
      <c r="O440" s="37"/>
      <c r="P440" s="37"/>
      <c r="Q440" s="37"/>
      <c r="R440" s="41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ht="15">
      <c r="A441" s="20" t="s">
        <v>10</v>
      </c>
      <c r="B441" s="32" t="s">
        <v>33</v>
      </c>
      <c r="C441" s="33">
        <v>44230.370833333334</v>
      </c>
      <c r="D441" s="19" t="s">
        <v>463</v>
      </c>
      <c r="E441" s="19" t="s">
        <v>13</v>
      </c>
      <c r="F441" s="19" t="s">
        <v>364</v>
      </c>
      <c r="G441" s="19">
        <v>12.4</v>
      </c>
      <c r="H441" s="34">
        <v>313</v>
      </c>
      <c r="I441" s="19" t="s">
        <v>1097</v>
      </c>
      <c r="J441" s="19" t="s">
        <v>1098</v>
      </c>
      <c r="K441" s="34"/>
      <c r="L441" s="36">
        <f t="shared" si="7"/>
        <v>7.6791225056322938</v>
      </c>
      <c r="M441" s="37"/>
      <c r="N441" s="37"/>
      <c r="O441" s="37"/>
      <c r="P441" s="37"/>
      <c r="Q441" s="37"/>
      <c r="R441" s="41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ht="15">
      <c r="A442" s="20" t="s">
        <v>10</v>
      </c>
      <c r="B442" s="32" t="s">
        <v>33</v>
      </c>
      <c r="C442" s="33">
        <v>44230.345138888886</v>
      </c>
      <c r="D442" s="19" t="s">
        <v>132</v>
      </c>
      <c r="E442" s="19" t="s">
        <v>13</v>
      </c>
      <c r="F442" s="19" t="s">
        <v>364</v>
      </c>
      <c r="G442" s="19">
        <v>12.7</v>
      </c>
      <c r="H442" s="34">
        <v>349</v>
      </c>
      <c r="I442" s="19" t="s">
        <v>1099</v>
      </c>
      <c r="J442" s="19" t="s">
        <v>1100</v>
      </c>
      <c r="K442" s="34"/>
      <c r="L442" s="36">
        <f t="shared" si="7"/>
        <v>13.744539559139467</v>
      </c>
      <c r="M442" s="37"/>
      <c r="N442" s="37"/>
      <c r="O442" s="37"/>
      <c r="P442" s="37"/>
      <c r="Q442" s="37"/>
      <c r="R442" s="41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ht="15">
      <c r="A443" s="20" t="s">
        <v>10</v>
      </c>
      <c r="B443" s="32" t="s">
        <v>33</v>
      </c>
      <c r="C443" s="33">
        <v>44230.32708333333</v>
      </c>
      <c r="D443" s="19" t="s">
        <v>796</v>
      </c>
      <c r="E443" s="19" t="s">
        <v>13</v>
      </c>
      <c r="F443" s="19" t="s">
        <v>364</v>
      </c>
      <c r="G443" s="19">
        <v>12.5</v>
      </c>
      <c r="H443" s="34">
        <v>317</v>
      </c>
      <c r="I443" s="19" t="s">
        <v>1101</v>
      </c>
      <c r="J443" s="19" t="s">
        <v>1102</v>
      </c>
      <c r="K443" s="34"/>
      <c r="L443" s="36">
        <f t="shared" si="7"/>
        <v>9.7800102344095698</v>
      </c>
      <c r="M443" s="37"/>
      <c r="N443" s="37"/>
      <c r="O443" s="37"/>
      <c r="P443" s="37"/>
      <c r="Q443" s="37"/>
      <c r="R443" s="41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ht="15.75" thickBot="1">
      <c r="A444" s="20" t="s">
        <v>10</v>
      </c>
      <c r="B444" s="42" t="s">
        <v>49</v>
      </c>
      <c r="C444" s="43">
        <v>44230.319444444445</v>
      </c>
      <c r="D444" s="47" t="s">
        <v>1103</v>
      </c>
      <c r="E444" s="47" t="s">
        <v>13</v>
      </c>
      <c r="F444" s="47" t="s">
        <v>364</v>
      </c>
      <c r="G444" s="47">
        <v>3.9</v>
      </c>
      <c r="H444" s="48">
        <v>94</v>
      </c>
      <c r="I444" s="47" t="s">
        <v>1104</v>
      </c>
      <c r="J444" s="47" t="s">
        <v>1105</v>
      </c>
      <c r="K444" s="48"/>
      <c r="L444" s="49">
        <f t="shared" si="7"/>
        <v>2.9491746878199385</v>
      </c>
      <c r="M444" s="50"/>
      <c r="N444" s="50"/>
      <c r="O444" s="50"/>
      <c r="P444" s="50"/>
      <c r="Q444" s="50"/>
      <c r="R444" s="51"/>
      <c r="S444" s="44" t="s">
        <v>1510</v>
      </c>
      <c r="T444" s="6"/>
      <c r="U444" s="6"/>
      <c r="V444" s="6"/>
      <c r="W444" s="6"/>
      <c r="X444" s="6"/>
      <c r="Y444" s="6"/>
      <c r="Z444" s="6"/>
      <c r="AA444" s="6"/>
      <c r="AB444" s="6"/>
    </row>
    <row r="445" spans="1:28" ht="15">
      <c r="A445" s="20" t="s">
        <v>10</v>
      </c>
      <c r="B445" s="24" t="s">
        <v>58</v>
      </c>
      <c r="C445" s="25">
        <v>44230.294444444444</v>
      </c>
      <c r="D445" s="26" t="s">
        <v>1106</v>
      </c>
      <c r="E445" s="26" t="s">
        <v>13</v>
      </c>
      <c r="F445" s="26" t="s">
        <v>364</v>
      </c>
      <c r="G445" s="26">
        <v>0.2</v>
      </c>
      <c r="H445" s="27">
        <v>313</v>
      </c>
      <c r="I445" s="26" t="s">
        <v>809</v>
      </c>
      <c r="J445" s="26" t="s">
        <v>1107</v>
      </c>
      <c r="K445" s="27"/>
      <c r="L445" s="28">
        <f t="shared" si="7"/>
        <v>0.17754442539225085</v>
      </c>
      <c r="M445" s="29"/>
      <c r="N445" s="30" t="s">
        <v>271</v>
      </c>
      <c r="O445" s="30" t="s">
        <v>23</v>
      </c>
      <c r="P445" s="30" t="s">
        <v>1498</v>
      </c>
      <c r="Q445" s="30" t="s">
        <v>1495</v>
      </c>
      <c r="R445" s="31" t="s">
        <v>1499</v>
      </c>
      <c r="S445" s="45">
        <f>(C444 - C445)*24</f>
        <v>0.6000000000349246</v>
      </c>
      <c r="T445" s="6"/>
      <c r="U445" s="6"/>
      <c r="V445" s="6"/>
      <c r="W445" s="6"/>
      <c r="X445" s="6"/>
      <c r="Y445" s="6"/>
      <c r="Z445" s="6"/>
      <c r="AA445" s="6"/>
      <c r="AB445" s="6"/>
    </row>
    <row r="446" spans="1:28" ht="15">
      <c r="A446" s="20" t="s">
        <v>10</v>
      </c>
      <c r="B446" s="32" t="s">
        <v>359</v>
      </c>
      <c r="C446" s="33">
        <v>44230.03125</v>
      </c>
      <c r="D446" s="19" t="s">
        <v>1108</v>
      </c>
      <c r="E446" s="19" t="s">
        <v>13</v>
      </c>
      <c r="F446" s="19" t="s">
        <v>364</v>
      </c>
      <c r="G446" s="19">
        <v>11.9</v>
      </c>
      <c r="H446" s="34">
        <v>346</v>
      </c>
      <c r="I446" s="19" t="s">
        <v>1109</v>
      </c>
      <c r="J446" s="19" t="s">
        <v>1110</v>
      </c>
      <c r="K446" s="34"/>
      <c r="L446" s="36">
        <f t="shared" si="7"/>
        <v>118.6378417724833</v>
      </c>
      <c r="M446" s="37"/>
      <c r="N446" s="38" t="s">
        <v>1530</v>
      </c>
      <c r="O446" s="38" t="s">
        <v>1527</v>
      </c>
      <c r="P446" s="39">
        <f>SUM(L445:L451)</f>
        <v>183.66900549187403</v>
      </c>
      <c r="Q446" s="39">
        <f>AVERAGE(G446:G449)</f>
        <v>12.25</v>
      </c>
      <c r="R446" s="46">
        <f>(C445 - C451)*24</f>
        <v>9.6833333332906477</v>
      </c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ht="15">
      <c r="A447" s="20" t="s">
        <v>10</v>
      </c>
      <c r="B447" s="32" t="s">
        <v>359</v>
      </c>
      <c r="C447" s="33">
        <v>44230.006249999999</v>
      </c>
      <c r="D447" s="19" t="s">
        <v>1111</v>
      </c>
      <c r="E447" s="19" t="s">
        <v>13</v>
      </c>
      <c r="F447" s="19" t="s">
        <v>364</v>
      </c>
      <c r="G447" s="19">
        <v>12.2</v>
      </c>
      <c r="H447" s="34">
        <v>348</v>
      </c>
      <c r="I447" s="19" t="s">
        <v>1112</v>
      </c>
      <c r="J447" s="19" t="s">
        <v>1113</v>
      </c>
      <c r="K447" s="34"/>
      <c r="L447" s="36">
        <f t="shared" si="7"/>
        <v>13.717492021257819</v>
      </c>
      <c r="M447" s="37"/>
      <c r="N447" s="37"/>
      <c r="O447" s="37"/>
      <c r="P447" s="37"/>
      <c r="Q447" s="37"/>
      <c r="R447" s="41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ht="15">
      <c r="A448" s="20" t="s">
        <v>10</v>
      </c>
      <c r="B448" s="32" t="s">
        <v>359</v>
      </c>
      <c r="C448" s="33">
        <v>44230.006249999999</v>
      </c>
      <c r="D448" s="19" t="s">
        <v>1114</v>
      </c>
      <c r="E448" s="19" t="s">
        <v>13</v>
      </c>
      <c r="F448" s="19" t="s">
        <v>364</v>
      </c>
      <c r="G448" s="19">
        <v>12.2</v>
      </c>
      <c r="H448" s="34">
        <v>348</v>
      </c>
      <c r="I448" s="19" t="s">
        <v>1112</v>
      </c>
      <c r="J448" s="19" t="s">
        <v>1113</v>
      </c>
      <c r="K448" s="34"/>
      <c r="L448" s="36">
        <f t="shared" si="7"/>
        <v>9.5041096538305277E-5</v>
      </c>
      <c r="M448" s="37"/>
      <c r="N448" s="37"/>
      <c r="O448" s="37"/>
      <c r="P448" s="37"/>
      <c r="Q448" s="37"/>
      <c r="R448" s="41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ht="15">
      <c r="A449" s="20" t="s">
        <v>10</v>
      </c>
      <c r="B449" s="32" t="s">
        <v>28</v>
      </c>
      <c r="C449" s="33">
        <v>44229.967361111114</v>
      </c>
      <c r="D449" s="19" t="s">
        <v>1115</v>
      </c>
      <c r="E449" s="19" t="s">
        <v>13</v>
      </c>
      <c r="F449" s="19" t="s">
        <v>364</v>
      </c>
      <c r="G449" s="19">
        <v>12.7</v>
      </c>
      <c r="H449" s="34">
        <v>292</v>
      </c>
      <c r="I449" s="19" t="s">
        <v>1116</v>
      </c>
      <c r="J449" s="19" t="s">
        <v>1117</v>
      </c>
      <c r="K449" s="34"/>
      <c r="L449" s="36">
        <f t="shared" si="7"/>
        <v>17.038138532793983</v>
      </c>
      <c r="M449" s="37"/>
      <c r="N449" s="37"/>
      <c r="O449" s="37"/>
      <c r="P449" s="37"/>
      <c r="Q449" s="37"/>
      <c r="R449" s="41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ht="15">
      <c r="A450" s="20" t="s">
        <v>10</v>
      </c>
      <c r="B450" s="32" t="s">
        <v>271</v>
      </c>
      <c r="C450" s="33">
        <v>44229.896527777775</v>
      </c>
      <c r="D450" s="19" t="s">
        <v>492</v>
      </c>
      <c r="E450" s="19" t="s">
        <v>13</v>
      </c>
      <c r="F450" s="19" t="s">
        <v>364</v>
      </c>
      <c r="G450" s="19" t="s">
        <v>25</v>
      </c>
      <c r="H450" s="34"/>
      <c r="I450" s="35" t="s">
        <v>702</v>
      </c>
      <c r="J450" s="35" t="s">
        <v>703</v>
      </c>
      <c r="K450" s="34"/>
      <c r="L450" s="36">
        <f t="shared" si="7"/>
        <v>34.097893698850136</v>
      </c>
      <c r="M450" s="37"/>
      <c r="N450" s="37"/>
      <c r="O450" s="37"/>
      <c r="P450" s="37"/>
      <c r="Q450" s="37"/>
      <c r="R450" s="41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ht="15.75" thickBot="1">
      <c r="A451" s="20" t="s">
        <v>10</v>
      </c>
      <c r="B451" s="42" t="s">
        <v>272</v>
      </c>
      <c r="C451" s="43">
        <v>44229.890972222223</v>
      </c>
      <c r="D451" s="47" t="s">
        <v>1118</v>
      </c>
      <c r="E451" s="47" t="s">
        <v>13</v>
      </c>
      <c r="F451" s="47" t="s">
        <v>364</v>
      </c>
      <c r="G451" s="47" t="s">
        <v>25</v>
      </c>
      <c r="H451" s="48"/>
      <c r="I451" s="47" t="s">
        <v>25</v>
      </c>
      <c r="J451" s="47" t="s">
        <v>25</v>
      </c>
      <c r="K451" s="48"/>
      <c r="L451" s="49"/>
      <c r="M451" s="50"/>
      <c r="N451" s="50"/>
      <c r="O451" s="50"/>
      <c r="P451" s="50"/>
      <c r="Q451" s="50"/>
      <c r="R451" s="51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ht="15">
      <c r="A452" s="20" t="s">
        <v>10</v>
      </c>
      <c r="B452" s="24" t="s">
        <v>155</v>
      </c>
      <c r="C452" s="25">
        <v>44229.886111111111</v>
      </c>
      <c r="D452" s="26" t="s">
        <v>1119</v>
      </c>
      <c r="E452" s="26" t="s">
        <v>13</v>
      </c>
      <c r="F452" s="26" t="s">
        <v>364</v>
      </c>
      <c r="G452" s="26" t="s">
        <v>15</v>
      </c>
      <c r="H452" s="27">
        <v>52</v>
      </c>
      <c r="I452" s="26" t="s">
        <v>1120</v>
      </c>
      <c r="J452" s="26" t="s">
        <v>1121</v>
      </c>
      <c r="K452" s="27"/>
      <c r="L452" s="5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ht="15">
      <c r="A453" s="20" t="s">
        <v>10</v>
      </c>
      <c r="B453" s="32" t="s">
        <v>155</v>
      </c>
      <c r="C453" s="33">
        <v>44229.886111111111</v>
      </c>
      <c r="D453" s="19" t="s">
        <v>1122</v>
      </c>
      <c r="E453" s="19" t="s">
        <v>13</v>
      </c>
      <c r="F453" s="19" t="s">
        <v>364</v>
      </c>
      <c r="G453" s="19" t="s">
        <v>15</v>
      </c>
      <c r="H453" s="34">
        <v>52</v>
      </c>
      <c r="I453" s="19" t="s">
        <v>1120</v>
      </c>
      <c r="J453" s="19" t="s">
        <v>1121</v>
      </c>
      <c r="K453" s="34"/>
      <c r="L453" s="57">
        <f t="shared" si="7"/>
        <v>0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ht="15">
      <c r="A454" s="20" t="s">
        <v>10</v>
      </c>
      <c r="B454" s="32" t="s">
        <v>21</v>
      </c>
      <c r="C454" s="33">
        <v>44229.883333333331</v>
      </c>
      <c r="D454" s="19" t="s">
        <v>273</v>
      </c>
      <c r="E454" s="19" t="s">
        <v>13</v>
      </c>
      <c r="F454" s="19" t="s">
        <v>364</v>
      </c>
      <c r="G454" s="19" t="s">
        <v>15</v>
      </c>
      <c r="H454" s="34">
        <v>52</v>
      </c>
      <c r="I454" s="19" t="s">
        <v>1120</v>
      </c>
      <c r="J454" s="19" t="s">
        <v>1123</v>
      </c>
      <c r="K454" s="34"/>
      <c r="L454" s="57">
        <f t="shared" si="7"/>
        <v>6.3043131377720147E-4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ht="15">
      <c r="A455" s="20" t="s">
        <v>10</v>
      </c>
      <c r="B455" s="32" t="s">
        <v>26</v>
      </c>
      <c r="C455" s="33">
        <v>44229.776388888888</v>
      </c>
      <c r="D455" s="19" t="s">
        <v>1118</v>
      </c>
      <c r="E455" s="19" t="s">
        <v>13</v>
      </c>
      <c r="F455" s="19" t="s">
        <v>364</v>
      </c>
      <c r="G455" s="19" t="s">
        <v>25</v>
      </c>
      <c r="H455" s="34"/>
      <c r="I455" s="19" t="s">
        <v>25</v>
      </c>
      <c r="J455" s="19" t="s">
        <v>25</v>
      </c>
      <c r="K455" s="34"/>
      <c r="L455" s="57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ht="15">
      <c r="A456" s="20" t="s">
        <v>10</v>
      </c>
      <c r="B456" s="32" t="s">
        <v>159</v>
      </c>
      <c r="C456" s="33">
        <v>44229.776388888888</v>
      </c>
      <c r="D456" s="19" t="s">
        <v>1124</v>
      </c>
      <c r="E456" s="19" t="s">
        <v>13</v>
      </c>
      <c r="F456" s="19" t="s">
        <v>364</v>
      </c>
      <c r="G456" s="19" t="s">
        <v>15</v>
      </c>
      <c r="H456" s="34">
        <v>52</v>
      </c>
      <c r="I456" s="19" t="s">
        <v>1120</v>
      </c>
      <c r="J456" s="19" t="s">
        <v>1121</v>
      </c>
      <c r="K456" s="34"/>
      <c r="L456" s="57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ht="15">
      <c r="A457" s="20" t="s">
        <v>10</v>
      </c>
      <c r="B457" s="32" t="s">
        <v>159</v>
      </c>
      <c r="C457" s="33">
        <v>44229.773611111108</v>
      </c>
      <c r="D457" s="19" t="s">
        <v>1125</v>
      </c>
      <c r="E457" s="19" t="s">
        <v>13</v>
      </c>
      <c r="F457" s="19" t="s">
        <v>364</v>
      </c>
      <c r="G457" s="19" t="s">
        <v>15</v>
      </c>
      <c r="H457" s="34">
        <v>52</v>
      </c>
      <c r="I457" s="19" t="s">
        <v>1126</v>
      </c>
      <c r="J457" s="19" t="s">
        <v>1127</v>
      </c>
      <c r="K457" s="34"/>
      <c r="L457" s="57">
        <f t="shared" si="7"/>
        <v>2.3163525544876704E-3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ht="15">
      <c r="A458" s="20" t="s">
        <v>10</v>
      </c>
      <c r="B458" s="32" t="s">
        <v>23</v>
      </c>
      <c r="C458" s="33">
        <v>44229.768750000003</v>
      </c>
      <c r="D458" s="19" t="s">
        <v>492</v>
      </c>
      <c r="E458" s="19" t="s">
        <v>13</v>
      </c>
      <c r="F458" s="19" t="s">
        <v>364</v>
      </c>
      <c r="G458" s="19" t="s">
        <v>25</v>
      </c>
      <c r="H458" s="34"/>
      <c r="I458" s="19" t="s">
        <v>25</v>
      </c>
      <c r="J458" s="19" t="s">
        <v>25</v>
      </c>
      <c r="K458" s="34"/>
      <c r="L458" s="57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ht="15">
      <c r="A459" s="20" t="s">
        <v>10</v>
      </c>
      <c r="B459" s="32" t="s">
        <v>271</v>
      </c>
      <c r="C459" s="33">
        <v>44229.760416666664</v>
      </c>
      <c r="D459" s="19" t="s">
        <v>492</v>
      </c>
      <c r="E459" s="19" t="s">
        <v>13</v>
      </c>
      <c r="F459" s="19" t="s">
        <v>364</v>
      </c>
      <c r="G459" s="19" t="s">
        <v>25</v>
      </c>
      <c r="H459" s="34"/>
      <c r="I459" s="34"/>
      <c r="J459" s="34"/>
      <c r="K459" s="34"/>
      <c r="L459" s="57"/>
      <c r="M459" s="6" t="s">
        <v>1530</v>
      </c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ht="15">
      <c r="A460" s="20" t="s">
        <v>10</v>
      </c>
      <c r="B460" s="32" t="s">
        <v>155</v>
      </c>
      <c r="C460" s="33">
        <v>44229.757638888892</v>
      </c>
      <c r="D460" s="19" t="s">
        <v>1128</v>
      </c>
      <c r="E460" s="19" t="s">
        <v>13</v>
      </c>
      <c r="F460" s="19" t="s">
        <v>364</v>
      </c>
      <c r="G460" s="19" t="s">
        <v>1129</v>
      </c>
      <c r="H460" s="34">
        <v>291</v>
      </c>
      <c r="I460" s="19" t="s">
        <v>1130</v>
      </c>
      <c r="J460" s="19" t="s">
        <v>1131</v>
      </c>
      <c r="K460" s="34"/>
      <c r="L460" s="57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ht="15">
      <c r="A461" s="20" t="s">
        <v>10</v>
      </c>
      <c r="B461" s="32" t="s">
        <v>272</v>
      </c>
      <c r="C461" s="33">
        <v>44229.757638888892</v>
      </c>
      <c r="D461" s="19" t="s">
        <v>1132</v>
      </c>
      <c r="E461" s="19" t="s">
        <v>13</v>
      </c>
      <c r="F461" s="19" t="s">
        <v>364</v>
      </c>
      <c r="G461" s="19" t="s">
        <v>25</v>
      </c>
      <c r="H461" s="34"/>
      <c r="I461" s="19" t="s">
        <v>25</v>
      </c>
      <c r="J461" s="19" t="s">
        <v>25</v>
      </c>
      <c r="K461" s="34"/>
      <c r="L461" s="57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ht="15">
      <c r="A462" s="20" t="s">
        <v>10</v>
      </c>
      <c r="B462" s="32" t="s">
        <v>159</v>
      </c>
      <c r="C462" s="33">
        <v>44229.715277777781</v>
      </c>
      <c r="D462" s="19" t="s">
        <v>1133</v>
      </c>
      <c r="E462" s="19" t="s">
        <v>13</v>
      </c>
      <c r="F462" s="19" t="s">
        <v>364</v>
      </c>
      <c r="G462" s="19" t="s">
        <v>1129</v>
      </c>
      <c r="H462" s="34">
        <v>291</v>
      </c>
      <c r="I462" s="19" t="s">
        <v>1130</v>
      </c>
      <c r="J462" s="19" t="s">
        <v>1131</v>
      </c>
      <c r="K462" s="34"/>
      <c r="L462" s="57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ht="15">
      <c r="A463" s="20" t="s">
        <v>10</v>
      </c>
      <c r="B463" s="32" t="s">
        <v>11</v>
      </c>
      <c r="C463" s="33">
        <v>44229.467361111114</v>
      </c>
      <c r="D463" s="19" t="s">
        <v>1134</v>
      </c>
      <c r="E463" s="19" t="s">
        <v>13</v>
      </c>
      <c r="F463" s="19" t="s">
        <v>364</v>
      </c>
      <c r="G463" s="19" t="s">
        <v>15</v>
      </c>
      <c r="H463" s="34">
        <v>79</v>
      </c>
      <c r="I463" s="19" t="s">
        <v>500</v>
      </c>
      <c r="J463" s="19" t="s">
        <v>1135</v>
      </c>
      <c r="K463" s="34"/>
      <c r="L463" s="57">
        <f t="shared" ref="L463:L523" si="8">ACOS((SIN(I462*PI()/180)*SIN(I463*PI()/180)+COS(I462*PI()/180)*COS(I463*PI()/180)*COS(J463*PI()/180-J462*PI()/180)))*3443.8985*1.852</f>
        <v>0.37230897242699501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ht="15">
      <c r="A464" s="20" t="s">
        <v>10</v>
      </c>
      <c r="B464" s="32" t="s">
        <v>28</v>
      </c>
      <c r="C464" s="33">
        <v>44228.967361111114</v>
      </c>
      <c r="D464" s="19" t="s">
        <v>1136</v>
      </c>
      <c r="E464" s="19" t="s">
        <v>13</v>
      </c>
      <c r="F464" s="19" t="s">
        <v>364</v>
      </c>
      <c r="G464" s="19" t="s">
        <v>15</v>
      </c>
      <c r="H464" s="34">
        <v>80</v>
      </c>
      <c r="I464" s="19" t="s">
        <v>1137</v>
      </c>
      <c r="J464" s="19" t="s">
        <v>1138</v>
      </c>
      <c r="K464" s="34"/>
      <c r="L464" s="57">
        <f t="shared" si="8"/>
        <v>8.5931448299364985E-2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ht="15">
      <c r="A465" s="20" t="s">
        <v>10</v>
      </c>
      <c r="B465" s="32" t="s">
        <v>1139</v>
      </c>
      <c r="C465" s="33">
        <v>44228.942361111112</v>
      </c>
      <c r="D465" s="19" t="s">
        <v>1140</v>
      </c>
      <c r="E465" s="19" t="s">
        <v>13</v>
      </c>
      <c r="F465" s="19" t="s">
        <v>364</v>
      </c>
      <c r="G465" s="19" t="s">
        <v>15</v>
      </c>
      <c r="H465" s="34">
        <v>80</v>
      </c>
      <c r="I465" s="19" t="s">
        <v>1141</v>
      </c>
      <c r="J465" s="19" t="s">
        <v>1142</v>
      </c>
      <c r="K465" s="34"/>
      <c r="L465" s="57">
        <f t="shared" si="8"/>
        <v>2.6797544607902414E-3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ht="15">
      <c r="A466" s="20" t="s">
        <v>10</v>
      </c>
      <c r="B466" s="32" t="s">
        <v>1143</v>
      </c>
      <c r="C466" s="33">
        <v>44228.829861111109</v>
      </c>
      <c r="D466" s="19" t="s">
        <v>1144</v>
      </c>
      <c r="E466" s="19" t="s">
        <v>13</v>
      </c>
      <c r="F466" s="19" t="s">
        <v>364</v>
      </c>
      <c r="G466" s="19" t="s">
        <v>15</v>
      </c>
      <c r="H466" s="34">
        <v>80</v>
      </c>
      <c r="I466" s="19" t="s">
        <v>1137</v>
      </c>
      <c r="J466" s="19" t="s">
        <v>1145</v>
      </c>
      <c r="K466" s="34"/>
      <c r="L466" s="57">
        <f t="shared" si="8"/>
        <v>3.0694007326642027E-3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ht="15">
      <c r="A467" s="20" t="s">
        <v>10</v>
      </c>
      <c r="B467" s="32" t="s">
        <v>21</v>
      </c>
      <c r="C467" s="33">
        <v>44228.586111111108</v>
      </c>
      <c r="D467" s="19" t="s">
        <v>22</v>
      </c>
      <c r="E467" s="19" t="s">
        <v>13</v>
      </c>
      <c r="F467" s="19" t="s">
        <v>364</v>
      </c>
      <c r="G467" s="19" t="s">
        <v>15</v>
      </c>
      <c r="H467" s="34">
        <v>80</v>
      </c>
      <c r="I467" s="19" t="s">
        <v>1146</v>
      </c>
      <c r="J467" s="19" t="s">
        <v>1147</v>
      </c>
      <c r="K467" s="34"/>
      <c r="L467" s="57">
        <f t="shared" si="8"/>
        <v>2.9646119749722451E-3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ht="15.75" thickBot="1">
      <c r="A468" s="20" t="s">
        <v>10</v>
      </c>
      <c r="B468" s="42" t="s">
        <v>26</v>
      </c>
      <c r="C468" s="43">
        <v>44228.501388888886</v>
      </c>
      <c r="D468" s="47" t="s">
        <v>1132</v>
      </c>
      <c r="E468" s="47" t="s">
        <v>13</v>
      </c>
      <c r="F468" s="47" t="s">
        <v>364</v>
      </c>
      <c r="G468" s="47" t="s">
        <v>25</v>
      </c>
      <c r="H468" s="48"/>
      <c r="I468" s="47" t="s">
        <v>25</v>
      </c>
      <c r="J468" s="47" t="s">
        <v>25</v>
      </c>
      <c r="K468" s="48"/>
      <c r="L468" s="60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ht="15">
      <c r="A469" s="20" t="s">
        <v>10</v>
      </c>
      <c r="B469" s="24" t="s">
        <v>23</v>
      </c>
      <c r="C469" s="25">
        <v>44228.49722222222</v>
      </c>
      <c r="D469" s="26" t="s">
        <v>492</v>
      </c>
      <c r="E469" s="26" t="s">
        <v>13</v>
      </c>
      <c r="F469" s="26" t="s">
        <v>364</v>
      </c>
      <c r="G469" s="26" t="s">
        <v>25</v>
      </c>
      <c r="H469" s="27"/>
      <c r="I469" s="83" t="s">
        <v>702</v>
      </c>
      <c r="J469" s="83" t="s">
        <v>703</v>
      </c>
      <c r="K469" s="27"/>
      <c r="L469" s="28"/>
      <c r="M469" s="29"/>
      <c r="N469" s="30" t="s">
        <v>271</v>
      </c>
      <c r="O469" s="30" t="s">
        <v>23</v>
      </c>
      <c r="P469" s="30" t="s">
        <v>1498</v>
      </c>
      <c r="Q469" s="30" t="s">
        <v>1495</v>
      </c>
      <c r="R469" s="31" t="s">
        <v>1499</v>
      </c>
      <c r="S469" s="6"/>
      <c r="T469" s="6"/>
      <c r="U469" s="392" t="s">
        <v>1567</v>
      </c>
      <c r="V469" s="392"/>
      <c r="W469" s="392"/>
      <c r="X469" s="6"/>
      <c r="Y469" s="6"/>
      <c r="Z469" s="6"/>
      <c r="AA469" s="6"/>
      <c r="AB469" s="6"/>
    </row>
    <row r="470" spans="1:28" ht="15">
      <c r="A470" s="20" t="s">
        <v>10</v>
      </c>
      <c r="B470" s="32" t="s">
        <v>11</v>
      </c>
      <c r="C470" s="33">
        <v>44228.467361111114</v>
      </c>
      <c r="D470" s="19" t="s">
        <v>1148</v>
      </c>
      <c r="E470" s="19" t="s">
        <v>13</v>
      </c>
      <c r="F470" s="19" t="s">
        <v>364</v>
      </c>
      <c r="G470" s="19">
        <v>11.5</v>
      </c>
      <c r="H470" s="34">
        <v>180</v>
      </c>
      <c r="I470" s="19" t="s">
        <v>1149</v>
      </c>
      <c r="J470" s="19" t="s">
        <v>1150</v>
      </c>
      <c r="K470" s="34"/>
      <c r="L470" s="36">
        <f t="shared" si="8"/>
        <v>12.867076554912998</v>
      </c>
      <c r="M470" s="37"/>
      <c r="N470" s="38" t="s">
        <v>1531</v>
      </c>
      <c r="O470" s="38" t="s">
        <v>1530</v>
      </c>
      <c r="P470" s="39">
        <f>SUM(L469:L471)</f>
        <v>40.541126749092342</v>
      </c>
      <c r="Q470" s="39">
        <f>AVERAGE(G470:G473)</f>
        <v>11.5</v>
      </c>
      <c r="R470" s="46">
        <f>(C469 - C471)*24</f>
        <v>2.5166666666627862</v>
      </c>
      <c r="S470" s="6"/>
      <c r="T470" s="6"/>
      <c r="U470" s="52" t="s">
        <v>1498</v>
      </c>
      <c r="V470" s="52" t="s">
        <v>1512</v>
      </c>
      <c r="W470" s="52" t="s">
        <v>1513</v>
      </c>
      <c r="X470" s="6"/>
      <c r="Y470" s="6"/>
      <c r="Z470" s="6"/>
      <c r="AA470" s="6"/>
      <c r="AB470" s="6"/>
    </row>
    <row r="471" spans="1:28" ht="15.75" thickBot="1">
      <c r="A471" s="20" t="s">
        <v>10</v>
      </c>
      <c r="B471" s="42" t="s">
        <v>271</v>
      </c>
      <c r="C471" s="43">
        <v>44228.392361111109</v>
      </c>
      <c r="D471" s="47" t="s">
        <v>487</v>
      </c>
      <c r="E471" s="47" t="s">
        <v>13</v>
      </c>
      <c r="F471" s="47" t="s">
        <v>364</v>
      </c>
      <c r="G471" s="47" t="s">
        <v>25</v>
      </c>
      <c r="H471" s="48"/>
      <c r="I471" s="84">
        <v>61.934370000000001</v>
      </c>
      <c r="J471" s="84">
        <v>5.1196200000000003</v>
      </c>
      <c r="K471" s="48"/>
      <c r="L471" s="49">
        <f t="shared" si="8"/>
        <v>27.674050194179348</v>
      </c>
      <c r="M471" s="50"/>
      <c r="N471" s="50"/>
      <c r="O471" s="50"/>
      <c r="P471" s="50"/>
      <c r="Q471" s="50"/>
      <c r="R471" s="51"/>
      <c r="S471" s="6"/>
      <c r="T471" s="6"/>
      <c r="U471" s="53">
        <f>SUM(P470)</f>
        <v>40.541126749092342</v>
      </c>
      <c r="V471" s="53">
        <f>SUM(R470)</f>
        <v>2.5166666666627862</v>
      </c>
      <c r="W471" s="53"/>
      <c r="X471" s="6"/>
      <c r="Y471" s="6"/>
      <c r="Z471" s="6"/>
      <c r="AA471" s="6"/>
      <c r="AB471" s="6"/>
    </row>
    <row r="472" spans="1:28" ht="15">
      <c r="A472" s="20" t="s">
        <v>10</v>
      </c>
      <c r="B472" s="24" t="s">
        <v>21</v>
      </c>
      <c r="C472" s="25">
        <v>44228.386805555558</v>
      </c>
      <c r="D472" s="26" t="s">
        <v>273</v>
      </c>
      <c r="E472" s="26" t="s">
        <v>13</v>
      </c>
      <c r="F472" s="26" t="s">
        <v>364</v>
      </c>
      <c r="G472" s="26" t="s">
        <v>1078</v>
      </c>
      <c r="H472" s="27">
        <v>203</v>
      </c>
      <c r="I472" s="26" t="s">
        <v>1151</v>
      </c>
      <c r="J472" s="26" t="s">
        <v>1152</v>
      </c>
      <c r="K472" s="27"/>
      <c r="L472" s="56">
        <f t="shared" si="8"/>
        <v>0.70316946457722806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ht="15">
      <c r="A473" s="20" t="s">
        <v>10</v>
      </c>
      <c r="B473" s="32" t="s">
        <v>155</v>
      </c>
      <c r="C473" s="33">
        <v>44228.32916666667</v>
      </c>
      <c r="D473" s="19" t="s">
        <v>1153</v>
      </c>
      <c r="E473" s="19" t="s">
        <v>13</v>
      </c>
      <c r="F473" s="19" t="s">
        <v>364</v>
      </c>
      <c r="G473" s="19" t="s">
        <v>15</v>
      </c>
      <c r="H473" s="34">
        <v>278</v>
      </c>
      <c r="I473" s="19" t="s">
        <v>1154</v>
      </c>
      <c r="J473" s="19" t="s">
        <v>1155</v>
      </c>
      <c r="K473" s="34"/>
      <c r="L473" s="57">
        <f t="shared" si="8"/>
        <v>0.75049725331969619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ht="15">
      <c r="A474" s="20" t="s">
        <v>10</v>
      </c>
      <c r="B474" s="32" t="s">
        <v>159</v>
      </c>
      <c r="C474" s="33">
        <v>44228.314583333333</v>
      </c>
      <c r="D474" s="19" t="s">
        <v>1156</v>
      </c>
      <c r="E474" s="19" t="s">
        <v>13</v>
      </c>
      <c r="F474" s="19" t="s">
        <v>364</v>
      </c>
      <c r="G474" s="19" t="s">
        <v>15</v>
      </c>
      <c r="H474" s="34">
        <v>278</v>
      </c>
      <c r="I474" s="19" t="s">
        <v>1157</v>
      </c>
      <c r="J474" s="19" t="s">
        <v>1158</v>
      </c>
      <c r="K474" s="34"/>
      <c r="L474" s="57">
        <f t="shared" si="8"/>
        <v>2.5819011991618794E-3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ht="15">
      <c r="A475" s="20" t="s">
        <v>10</v>
      </c>
      <c r="B475" s="32" t="s">
        <v>155</v>
      </c>
      <c r="C475" s="33">
        <v>44228.254166666666</v>
      </c>
      <c r="D475" s="19" t="s">
        <v>1159</v>
      </c>
      <c r="E475" s="19" t="s">
        <v>13</v>
      </c>
      <c r="F475" s="19" t="s">
        <v>364</v>
      </c>
      <c r="G475" s="19" t="s">
        <v>15</v>
      </c>
      <c r="H475" s="34">
        <v>278</v>
      </c>
      <c r="I475" s="19" t="s">
        <v>1160</v>
      </c>
      <c r="J475" s="19" t="s">
        <v>1161</v>
      </c>
      <c r="K475" s="34"/>
      <c r="L475" s="57">
        <f t="shared" si="8"/>
        <v>5.7056329491864677E-3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ht="15">
      <c r="A476" s="20" t="s">
        <v>10</v>
      </c>
      <c r="B476" s="32" t="s">
        <v>28</v>
      </c>
      <c r="C476" s="33">
        <v>44227.966666666667</v>
      </c>
      <c r="D476" s="19" t="s">
        <v>1162</v>
      </c>
      <c r="E476" s="19" t="s">
        <v>13</v>
      </c>
      <c r="F476" s="19" t="s">
        <v>364</v>
      </c>
      <c r="G476" s="19" t="s">
        <v>15</v>
      </c>
      <c r="H476" s="34">
        <v>278</v>
      </c>
      <c r="I476" s="19" t="s">
        <v>1154</v>
      </c>
      <c r="J476" s="19" t="s">
        <v>1163</v>
      </c>
      <c r="K476" s="34"/>
      <c r="L476" s="57">
        <f t="shared" si="8"/>
        <v>3.3669239059960303E-3</v>
      </c>
      <c r="M476" s="6" t="s">
        <v>1531</v>
      </c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ht="15">
      <c r="A477" s="20" t="s">
        <v>10</v>
      </c>
      <c r="B477" s="32" t="s">
        <v>21</v>
      </c>
      <c r="C477" s="33">
        <v>44227.897916666669</v>
      </c>
      <c r="D477" s="19" t="s">
        <v>22</v>
      </c>
      <c r="E477" s="19" t="s">
        <v>13</v>
      </c>
      <c r="F477" s="19" t="s">
        <v>364</v>
      </c>
      <c r="G477" s="19" t="s">
        <v>15</v>
      </c>
      <c r="H477" s="34">
        <v>278</v>
      </c>
      <c r="I477" s="19" t="s">
        <v>1164</v>
      </c>
      <c r="J477" s="19" t="s">
        <v>1163</v>
      </c>
      <c r="K477" s="34"/>
      <c r="L477" s="57">
        <f t="shared" si="8"/>
        <v>2.2289112842542049E-3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ht="15">
      <c r="A478" s="20" t="s">
        <v>10</v>
      </c>
      <c r="B478" s="32" t="s">
        <v>376</v>
      </c>
      <c r="C478" s="33">
        <v>44227.825694444444</v>
      </c>
      <c r="D478" s="19" t="s">
        <v>510</v>
      </c>
      <c r="E478" s="19" t="s">
        <v>13</v>
      </c>
      <c r="F478" s="19" t="s">
        <v>364</v>
      </c>
      <c r="G478" s="19" t="s">
        <v>15</v>
      </c>
      <c r="H478" s="34">
        <v>278</v>
      </c>
      <c r="I478" s="19" t="s">
        <v>1165</v>
      </c>
      <c r="J478" s="19" t="s">
        <v>1166</v>
      </c>
      <c r="K478" s="34"/>
      <c r="L478" s="57">
        <f t="shared" si="8"/>
        <v>3.3426914320565226E-3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ht="15">
      <c r="A479" s="20" t="s">
        <v>10</v>
      </c>
      <c r="B479" s="32" t="s">
        <v>376</v>
      </c>
      <c r="C479" s="33">
        <v>44227.825694444444</v>
      </c>
      <c r="D479" s="19" t="s">
        <v>513</v>
      </c>
      <c r="E479" s="19" t="s">
        <v>13</v>
      </c>
      <c r="F479" s="19" t="s">
        <v>364</v>
      </c>
      <c r="G479" s="19" t="s">
        <v>15</v>
      </c>
      <c r="H479" s="34">
        <v>278</v>
      </c>
      <c r="I479" s="19" t="s">
        <v>1165</v>
      </c>
      <c r="J479" s="19" t="s">
        <v>1166</v>
      </c>
      <c r="K479" s="34"/>
      <c r="L479" s="57">
        <f t="shared" si="8"/>
        <v>0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ht="15.75" thickBot="1">
      <c r="A480" s="20" t="s">
        <v>10</v>
      </c>
      <c r="B480" s="42" t="s">
        <v>159</v>
      </c>
      <c r="C480" s="43">
        <v>44227.809027777781</v>
      </c>
      <c r="D480" s="47" t="s">
        <v>1167</v>
      </c>
      <c r="E480" s="47" t="s">
        <v>13</v>
      </c>
      <c r="F480" s="47" t="s">
        <v>364</v>
      </c>
      <c r="G480" s="47" t="s">
        <v>15</v>
      </c>
      <c r="H480" s="48">
        <v>278</v>
      </c>
      <c r="I480" s="47" t="s">
        <v>1168</v>
      </c>
      <c r="J480" s="47" t="s">
        <v>1169</v>
      </c>
      <c r="K480" s="48"/>
      <c r="L480" s="60">
        <f t="shared" si="8"/>
        <v>2.3588579820142644E-3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ht="15">
      <c r="A481" s="20" t="s">
        <v>10</v>
      </c>
      <c r="B481" s="24" t="s">
        <v>23</v>
      </c>
      <c r="C481" s="25">
        <v>44227.803472222222</v>
      </c>
      <c r="D481" s="26" t="s">
        <v>487</v>
      </c>
      <c r="E481" s="26" t="s">
        <v>13</v>
      </c>
      <c r="F481" s="26" t="s">
        <v>364</v>
      </c>
      <c r="G481" s="26" t="s">
        <v>25</v>
      </c>
      <c r="H481" s="27"/>
      <c r="I481" s="26" t="s">
        <v>25</v>
      </c>
      <c r="J481" s="26" t="s">
        <v>25</v>
      </c>
      <c r="K481" s="27"/>
      <c r="L481" s="28"/>
      <c r="M481" s="29"/>
      <c r="N481" s="30" t="s">
        <v>271</v>
      </c>
      <c r="O481" s="30" t="s">
        <v>23</v>
      </c>
      <c r="P481" s="30" t="s">
        <v>1498</v>
      </c>
      <c r="Q481" s="30" t="s">
        <v>1495</v>
      </c>
      <c r="R481" s="31" t="s">
        <v>1499</v>
      </c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ht="15">
      <c r="A482" s="20" t="s">
        <v>10</v>
      </c>
      <c r="B482" s="32" t="s">
        <v>376</v>
      </c>
      <c r="C482" s="33">
        <v>44227.76458333333</v>
      </c>
      <c r="D482" s="19" t="s">
        <v>896</v>
      </c>
      <c r="E482" s="19" t="s">
        <v>13</v>
      </c>
      <c r="F482" s="19" t="s">
        <v>364</v>
      </c>
      <c r="G482" s="19">
        <v>11.4</v>
      </c>
      <c r="H482" s="34">
        <v>154</v>
      </c>
      <c r="I482" s="19" t="s">
        <v>1170</v>
      </c>
      <c r="J482" s="19" t="s">
        <v>1171</v>
      </c>
      <c r="K482" s="34"/>
      <c r="L482" s="36"/>
      <c r="M482" s="37"/>
      <c r="N482" s="38" t="s">
        <v>1554</v>
      </c>
      <c r="O482" s="38" t="s">
        <v>1531</v>
      </c>
      <c r="P482" s="39">
        <f>SUM(L481:L495)</f>
        <v>593.88416183867992</v>
      </c>
      <c r="Q482" s="39">
        <f>AVERAGE(G482:G493)</f>
        <v>10.783333333333331</v>
      </c>
      <c r="R482" s="46">
        <f>(C481 - C495)*24</f>
        <v>32.150000000023283</v>
      </c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ht="15">
      <c r="A483" s="20" t="s">
        <v>10</v>
      </c>
      <c r="B483" s="32" t="s">
        <v>11</v>
      </c>
      <c r="C483" s="33">
        <v>44227.467361111114</v>
      </c>
      <c r="D483" s="19" t="s">
        <v>1172</v>
      </c>
      <c r="E483" s="19" t="s">
        <v>13</v>
      </c>
      <c r="F483" s="19" t="s">
        <v>364</v>
      </c>
      <c r="G483" s="19">
        <v>10</v>
      </c>
      <c r="H483" s="34">
        <v>253</v>
      </c>
      <c r="I483" s="19" t="s">
        <v>1173</v>
      </c>
      <c r="J483" s="19" t="s">
        <v>1174</v>
      </c>
      <c r="K483" s="34"/>
      <c r="L483" s="36">
        <f t="shared" si="8"/>
        <v>137.92287356546316</v>
      </c>
      <c r="M483" s="37"/>
      <c r="N483" s="37"/>
      <c r="O483" s="37"/>
      <c r="P483" s="37"/>
      <c r="Q483" s="37"/>
      <c r="R483" s="41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ht="15">
      <c r="A484" s="20" t="s">
        <v>10</v>
      </c>
      <c r="B484" s="32" t="s">
        <v>28</v>
      </c>
      <c r="C484" s="33">
        <v>44226.96597222222</v>
      </c>
      <c r="D484" s="19" t="s">
        <v>1175</v>
      </c>
      <c r="E484" s="19" t="s">
        <v>13</v>
      </c>
      <c r="F484" s="19" t="s">
        <v>14</v>
      </c>
      <c r="G484" s="19">
        <v>11.8</v>
      </c>
      <c r="H484" s="34">
        <v>228</v>
      </c>
      <c r="I484" s="19" t="s">
        <v>1176</v>
      </c>
      <c r="J484" s="19" t="s">
        <v>1177</v>
      </c>
      <c r="K484" s="34"/>
      <c r="L484" s="36">
        <f t="shared" si="8"/>
        <v>223.88200983386298</v>
      </c>
      <c r="M484" s="37"/>
      <c r="N484" s="37"/>
      <c r="O484" s="37"/>
      <c r="P484" s="37"/>
      <c r="Q484" s="37"/>
      <c r="R484" s="41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ht="15">
      <c r="A485" s="20" t="s">
        <v>10</v>
      </c>
      <c r="B485" s="32" t="s">
        <v>33</v>
      </c>
      <c r="C485" s="33">
        <v>44226.5625</v>
      </c>
      <c r="D485" s="19" t="s">
        <v>561</v>
      </c>
      <c r="E485" s="19" t="s">
        <v>13</v>
      </c>
      <c r="F485" s="19" t="s">
        <v>14</v>
      </c>
      <c r="G485" s="19">
        <v>11.4</v>
      </c>
      <c r="H485" s="34">
        <v>195</v>
      </c>
      <c r="I485" s="19" t="s">
        <v>1178</v>
      </c>
      <c r="J485" s="19" t="s">
        <v>1179</v>
      </c>
      <c r="K485" s="34"/>
      <c r="L485" s="36">
        <f t="shared" si="8"/>
        <v>188.060764071758</v>
      </c>
      <c r="M485" s="37"/>
      <c r="N485" s="37"/>
      <c r="O485" s="37"/>
      <c r="P485" s="37"/>
      <c r="Q485" s="37"/>
      <c r="R485" s="41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ht="15">
      <c r="A486" s="20" t="s">
        <v>10</v>
      </c>
      <c r="B486" s="32" t="s">
        <v>33</v>
      </c>
      <c r="C486" s="33">
        <v>44226.546527777777</v>
      </c>
      <c r="D486" s="19" t="s">
        <v>1180</v>
      </c>
      <c r="E486" s="19" t="s">
        <v>13</v>
      </c>
      <c r="F486" s="19" t="s">
        <v>14</v>
      </c>
      <c r="G486" s="19">
        <v>10.7</v>
      </c>
      <c r="H486" s="34">
        <v>165</v>
      </c>
      <c r="I486" s="19" t="s">
        <v>1181</v>
      </c>
      <c r="J486" s="19" t="s">
        <v>1182</v>
      </c>
      <c r="K486" s="34"/>
      <c r="L486" s="36">
        <f t="shared" si="8"/>
        <v>7.851567943526689</v>
      </c>
      <c r="M486" s="37"/>
      <c r="N486" s="37"/>
      <c r="O486" s="37"/>
      <c r="P486" s="37"/>
      <c r="Q486" s="37"/>
      <c r="R486" s="41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ht="15">
      <c r="A487" s="20" t="s">
        <v>10</v>
      </c>
      <c r="B487" s="32" t="s">
        <v>33</v>
      </c>
      <c r="C487" s="33">
        <v>44226.53402777778</v>
      </c>
      <c r="D487" s="19" t="s">
        <v>1183</v>
      </c>
      <c r="E487" s="19" t="s">
        <v>13</v>
      </c>
      <c r="F487" s="19" t="s">
        <v>14</v>
      </c>
      <c r="G487" s="19">
        <v>10.6</v>
      </c>
      <c r="H487" s="34">
        <v>196</v>
      </c>
      <c r="I487" s="19" t="s">
        <v>1184</v>
      </c>
      <c r="J487" s="19" t="s">
        <v>1185</v>
      </c>
      <c r="K487" s="34"/>
      <c r="L487" s="36">
        <f t="shared" si="8"/>
        <v>5.7752524186650609</v>
      </c>
      <c r="M487" s="37"/>
      <c r="N487" s="37"/>
      <c r="O487" s="37"/>
      <c r="P487" s="37"/>
      <c r="Q487" s="37"/>
      <c r="R487" s="41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ht="15">
      <c r="A488" s="20" t="s">
        <v>10</v>
      </c>
      <c r="B488" s="32" t="s">
        <v>33</v>
      </c>
      <c r="C488" s="33">
        <v>44226.526388888888</v>
      </c>
      <c r="D488" s="19" t="s">
        <v>1186</v>
      </c>
      <c r="E488" s="19" t="s">
        <v>13</v>
      </c>
      <c r="F488" s="19" t="s">
        <v>14</v>
      </c>
      <c r="G488" s="19">
        <v>11.1</v>
      </c>
      <c r="H488" s="34">
        <v>100</v>
      </c>
      <c r="I488" s="19" t="s">
        <v>1187</v>
      </c>
      <c r="J488" s="19" t="s">
        <v>1188</v>
      </c>
      <c r="K488" s="34"/>
      <c r="L488" s="36">
        <f t="shared" si="8"/>
        <v>2.9894506455876022</v>
      </c>
      <c r="M488" s="37"/>
      <c r="N488" s="37"/>
      <c r="O488" s="37"/>
      <c r="P488" s="37"/>
      <c r="Q488" s="37"/>
      <c r="R488" s="41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ht="15">
      <c r="A489" s="20" t="s">
        <v>10</v>
      </c>
      <c r="B489" s="32" t="s">
        <v>33</v>
      </c>
      <c r="C489" s="33">
        <v>44226.512499999997</v>
      </c>
      <c r="D489" s="19" t="s">
        <v>1089</v>
      </c>
      <c r="E489" s="19" t="s">
        <v>13</v>
      </c>
      <c r="F489" s="19" t="s">
        <v>14</v>
      </c>
      <c r="G489" s="19">
        <v>10.3</v>
      </c>
      <c r="H489" s="34">
        <v>63</v>
      </c>
      <c r="I489" s="19" t="s">
        <v>1189</v>
      </c>
      <c r="J489" s="19" t="s">
        <v>1190</v>
      </c>
      <c r="K489" s="34"/>
      <c r="L489" s="36">
        <f t="shared" si="8"/>
        <v>7.1622722796162117</v>
      </c>
      <c r="M489" s="37"/>
      <c r="N489" s="37"/>
      <c r="O489" s="37"/>
      <c r="P489" s="37"/>
      <c r="Q489" s="37"/>
      <c r="R489" s="41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ht="15">
      <c r="A490" s="20" t="s">
        <v>10</v>
      </c>
      <c r="B490" s="32" t="s">
        <v>33</v>
      </c>
      <c r="C490" s="33">
        <v>44226.504861111112</v>
      </c>
      <c r="D490" s="19" t="s">
        <v>1191</v>
      </c>
      <c r="E490" s="19" t="s">
        <v>13</v>
      </c>
      <c r="F490" s="19" t="s">
        <v>14</v>
      </c>
      <c r="G490" s="19">
        <v>9.3000000000000007</v>
      </c>
      <c r="H490" s="34">
        <v>173</v>
      </c>
      <c r="I490" s="19" t="s">
        <v>1192</v>
      </c>
      <c r="J490" s="19" t="s">
        <v>1193</v>
      </c>
      <c r="K490" s="34"/>
      <c r="L490" s="36">
        <f t="shared" si="8"/>
        <v>2.3236535293524061</v>
      </c>
      <c r="M490" s="37"/>
      <c r="N490" s="37"/>
      <c r="O490" s="37"/>
      <c r="P490" s="37"/>
      <c r="Q490" s="37"/>
      <c r="R490" s="41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ht="15">
      <c r="A491" s="20" t="s">
        <v>10</v>
      </c>
      <c r="B491" s="32" t="s">
        <v>33</v>
      </c>
      <c r="C491" s="33">
        <v>44226.49722222222</v>
      </c>
      <c r="D491" s="19" t="s">
        <v>1194</v>
      </c>
      <c r="E491" s="19" t="s">
        <v>13</v>
      </c>
      <c r="F491" s="19" t="s">
        <v>14</v>
      </c>
      <c r="G491" s="19">
        <v>11.1</v>
      </c>
      <c r="H491" s="34">
        <v>91</v>
      </c>
      <c r="I491" s="19" t="s">
        <v>1195</v>
      </c>
      <c r="J491" s="19" t="s">
        <v>1196</v>
      </c>
      <c r="K491" s="34"/>
      <c r="L491" s="36">
        <f t="shared" si="8"/>
        <v>2.7690956529846016</v>
      </c>
      <c r="M491" s="37"/>
      <c r="N491" s="37"/>
      <c r="O491" s="37"/>
      <c r="P491" s="37"/>
      <c r="Q491" s="37"/>
      <c r="R491" s="41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ht="15">
      <c r="A492" s="20" t="s">
        <v>10</v>
      </c>
      <c r="B492" s="32" t="s">
        <v>33</v>
      </c>
      <c r="C492" s="33">
        <v>44226.477777777778</v>
      </c>
      <c r="D492" s="19" t="s">
        <v>1197</v>
      </c>
      <c r="E492" s="19" t="s">
        <v>13</v>
      </c>
      <c r="F492" s="19" t="s">
        <v>14</v>
      </c>
      <c r="G492" s="19">
        <v>11.2</v>
      </c>
      <c r="H492" s="34">
        <v>58</v>
      </c>
      <c r="I492" s="19" t="s">
        <v>1198</v>
      </c>
      <c r="J492" s="19" t="s">
        <v>1199</v>
      </c>
      <c r="K492" s="34"/>
      <c r="L492" s="36">
        <f t="shared" si="8"/>
        <v>9.6189393171914404</v>
      </c>
      <c r="M492" s="37"/>
      <c r="N492" s="37"/>
      <c r="O492" s="37"/>
      <c r="P492" s="37"/>
      <c r="Q492" s="37"/>
      <c r="R492" s="41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ht="15">
      <c r="A493" s="20" t="s">
        <v>10</v>
      </c>
      <c r="B493" s="32" t="s">
        <v>33</v>
      </c>
      <c r="C493" s="33">
        <v>44226.470833333333</v>
      </c>
      <c r="D493" s="19" t="s">
        <v>1200</v>
      </c>
      <c r="E493" s="19" t="s">
        <v>13</v>
      </c>
      <c r="F493" s="19" t="s">
        <v>14</v>
      </c>
      <c r="G493" s="19">
        <v>10.5</v>
      </c>
      <c r="H493" s="34">
        <v>2</v>
      </c>
      <c r="I493" s="19" t="s">
        <v>1201</v>
      </c>
      <c r="J493" s="19" t="s">
        <v>1202</v>
      </c>
      <c r="K493" s="34"/>
      <c r="L493" s="36">
        <f t="shared" si="8"/>
        <v>3.0596780234327019</v>
      </c>
      <c r="M493" s="37"/>
      <c r="N493" s="37"/>
      <c r="O493" s="37"/>
      <c r="P493" s="37"/>
      <c r="Q493" s="37"/>
      <c r="R493" s="41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ht="15">
      <c r="A494" s="20" t="s">
        <v>10</v>
      </c>
      <c r="B494" s="32" t="s">
        <v>11</v>
      </c>
      <c r="C494" s="33">
        <v>44226.46597222222</v>
      </c>
      <c r="D494" s="19" t="s">
        <v>1203</v>
      </c>
      <c r="E494" s="19" t="s">
        <v>13</v>
      </c>
      <c r="F494" s="19" t="s">
        <v>14</v>
      </c>
      <c r="G494" s="19">
        <v>8.3000000000000007</v>
      </c>
      <c r="H494" s="34">
        <v>252</v>
      </c>
      <c r="I494" s="19" t="s">
        <v>1204</v>
      </c>
      <c r="J494" s="19" t="s">
        <v>1205</v>
      </c>
      <c r="K494" s="34"/>
      <c r="L494" s="36">
        <f t="shared" si="8"/>
        <v>1.9267950878352789</v>
      </c>
      <c r="M494" s="37"/>
      <c r="N494" s="37"/>
      <c r="O494" s="37"/>
      <c r="P494" s="37"/>
      <c r="Q494" s="37"/>
      <c r="R494" s="41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ht="15.75" thickBot="1">
      <c r="A495" s="20" t="s">
        <v>10</v>
      </c>
      <c r="B495" s="42" t="s">
        <v>49</v>
      </c>
      <c r="C495" s="43">
        <v>44226.463888888888</v>
      </c>
      <c r="D495" s="47" t="s">
        <v>1206</v>
      </c>
      <c r="E495" s="47" t="s">
        <v>13</v>
      </c>
      <c r="F495" s="47" t="s">
        <v>14</v>
      </c>
      <c r="G495" s="47">
        <v>5.5</v>
      </c>
      <c r="H495" s="48">
        <v>139</v>
      </c>
      <c r="I495" s="47" t="s">
        <v>1207</v>
      </c>
      <c r="J495" s="47" t="s">
        <v>1208</v>
      </c>
      <c r="K495" s="48"/>
      <c r="L495" s="49">
        <f t="shared" si="8"/>
        <v>0.54180946940355146</v>
      </c>
      <c r="M495" s="50"/>
      <c r="N495" s="50"/>
      <c r="O495" s="50"/>
      <c r="P495" s="50"/>
      <c r="Q495" s="50"/>
      <c r="R495" s="51"/>
      <c r="S495" s="44" t="s">
        <v>1510</v>
      </c>
      <c r="T495" s="6"/>
      <c r="U495" s="6"/>
      <c r="V495" s="6"/>
      <c r="W495" s="6"/>
      <c r="X495" s="6"/>
      <c r="Y495" s="6"/>
      <c r="Z495" s="6"/>
      <c r="AA495" s="6"/>
      <c r="AB495" s="6"/>
    </row>
    <row r="496" spans="1:28" ht="15">
      <c r="A496" s="20" t="s">
        <v>10</v>
      </c>
      <c r="B496" s="24" t="s">
        <v>155</v>
      </c>
      <c r="C496" s="25">
        <v>44226.460416666669</v>
      </c>
      <c r="D496" s="26" t="s">
        <v>1209</v>
      </c>
      <c r="E496" s="26" t="s">
        <v>13</v>
      </c>
      <c r="F496" s="26" t="s">
        <v>14</v>
      </c>
      <c r="G496" s="26">
        <v>0</v>
      </c>
      <c r="H496" s="27">
        <v>261</v>
      </c>
      <c r="I496" s="26" t="s">
        <v>1210</v>
      </c>
      <c r="J496" s="26" t="s">
        <v>1211</v>
      </c>
      <c r="K496" s="27"/>
      <c r="L496" s="28">
        <f t="shared" si="8"/>
        <v>0.23487291419435005</v>
      </c>
      <c r="M496" s="29"/>
      <c r="N496" s="30" t="s">
        <v>271</v>
      </c>
      <c r="O496" s="30" t="s">
        <v>23</v>
      </c>
      <c r="P496" s="30" t="s">
        <v>1498</v>
      </c>
      <c r="Q496" s="30" t="s">
        <v>1495</v>
      </c>
      <c r="R496" s="31" t="s">
        <v>1499</v>
      </c>
      <c r="S496" s="45">
        <f>(C495 - C496)*24</f>
        <v>8.3333333255723119E-2</v>
      </c>
      <c r="T496" s="6"/>
      <c r="U496" s="6"/>
      <c r="V496" s="6"/>
      <c r="W496" s="6"/>
      <c r="X496" s="6"/>
      <c r="Y496" s="6"/>
      <c r="Z496" s="6"/>
      <c r="AA496" s="6"/>
      <c r="AB496" s="6"/>
    </row>
    <row r="497" spans="1:28" ht="15">
      <c r="A497" s="20" t="s">
        <v>10</v>
      </c>
      <c r="B497" s="32" t="s">
        <v>159</v>
      </c>
      <c r="C497" s="33">
        <v>44226.421527777777</v>
      </c>
      <c r="D497" s="19" t="s">
        <v>1212</v>
      </c>
      <c r="E497" s="19" t="s">
        <v>13</v>
      </c>
      <c r="F497" s="19" t="s">
        <v>14</v>
      </c>
      <c r="G497" s="19">
        <v>0</v>
      </c>
      <c r="H497" s="34">
        <v>221</v>
      </c>
      <c r="I497" s="19" t="s">
        <v>1210</v>
      </c>
      <c r="J497" s="19" t="s">
        <v>1213</v>
      </c>
      <c r="K497" s="34"/>
      <c r="L497" s="36">
        <f t="shared" si="8"/>
        <v>5.0029907653965106E-3</v>
      </c>
      <c r="M497" s="37"/>
      <c r="N497" s="38" t="s">
        <v>1555</v>
      </c>
      <c r="O497" s="38" t="s">
        <v>1554</v>
      </c>
      <c r="P497" s="39">
        <f>SUM(L496:L502)</f>
        <v>28.84751558468513</v>
      </c>
      <c r="Q497" s="39">
        <f>AVERAGE(G500:G501)</f>
        <v>11.5</v>
      </c>
      <c r="R497" s="46">
        <f>(C496 - C502)*24</f>
        <v>2.5500000001047738</v>
      </c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ht="15">
      <c r="A498" s="20" t="s">
        <v>10</v>
      </c>
      <c r="B498" s="32" t="s">
        <v>58</v>
      </c>
      <c r="C498" s="33">
        <v>44226.418055555558</v>
      </c>
      <c r="D498" s="19" t="s">
        <v>1214</v>
      </c>
      <c r="E498" s="19" t="s">
        <v>13</v>
      </c>
      <c r="F498" s="19" t="s">
        <v>14</v>
      </c>
      <c r="G498" s="19">
        <v>0</v>
      </c>
      <c r="H498" s="34">
        <v>134</v>
      </c>
      <c r="I498" s="19" t="s">
        <v>1215</v>
      </c>
      <c r="J498" s="19" t="s">
        <v>1213</v>
      </c>
      <c r="K498" s="34"/>
      <c r="L498" s="36">
        <f t="shared" si="8"/>
        <v>6.6786238053220294E-3</v>
      </c>
      <c r="M498" s="37"/>
      <c r="N498" s="37"/>
      <c r="O498" s="37"/>
      <c r="P498" s="37"/>
      <c r="Q498" s="37"/>
      <c r="R498" s="41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ht="15">
      <c r="A499" s="20" t="s">
        <v>10</v>
      </c>
      <c r="B499" s="32" t="s">
        <v>33</v>
      </c>
      <c r="C499" s="33">
        <v>44226.413194444445</v>
      </c>
      <c r="D499" s="19" t="s">
        <v>390</v>
      </c>
      <c r="E499" s="19" t="s">
        <v>13</v>
      </c>
      <c r="F499" s="19" t="s">
        <v>14</v>
      </c>
      <c r="G499" s="19">
        <v>6.2</v>
      </c>
      <c r="H499" s="34">
        <v>77</v>
      </c>
      <c r="I499" s="19" t="s">
        <v>1216</v>
      </c>
      <c r="J499" s="19" t="s">
        <v>1217</v>
      </c>
      <c r="K499" s="34"/>
      <c r="L499" s="36">
        <f t="shared" si="8"/>
        <v>0.67226274153581955</v>
      </c>
      <c r="M499" s="37"/>
      <c r="N499" s="37"/>
      <c r="O499" s="37"/>
      <c r="P499" s="37"/>
      <c r="Q499" s="37"/>
      <c r="R499" s="41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ht="15">
      <c r="A500" s="20" t="s">
        <v>10</v>
      </c>
      <c r="B500" s="32" t="s">
        <v>33</v>
      </c>
      <c r="C500" s="33">
        <v>44226.405555555553</v>
      </c>
      <c r="D500" s="19" t="s">
        <v>1218</v>
      </c>
      <c r="E500" s="19" t="s">
        <v>13</v>
      </c>
      <c r="F500" s="19" t="s">
        <v>14</v>
      </c>
      <c r="G500" s="19">
        <v>11.2</v>
      </c>
      <c r="H500" s="34">
        <v>190</v>
      </c>
      <c r="I500" s="19" t="s">
        <v>1219</v>
      </c>
      <c r="J500" s="19" t="s">
        <v>1220</v>
      </c>
      <c r="K500" s="34"/>
      <c r="L500" s="36">
        <f t="shared" si="8"/>
        <v>2.9126420903562651</v>
      </c>
      <c r="M500" s="37"/>
      <c r="N500" s="37"/>
      <c r="O500" s="37"/>
      <c r="P500" s="37"/>
      <c r="Q500" s="37"/>
      <c r="R500" s="41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ht="15">
      <c r="A501" s="20" t="s">
        <v>10</v>
      </c>
      <c r="B501" s="32" t="s">
        <v>33</v>
      </c>
      <c r="C501" s="33">
        <v>44226.394444444442</v>
      </c>
      <c r="D501" s="19" t="s">
        <v>1221</v>
      </c>
      <c r="E501" s="19" t="s">
        <v>13</v>
      </c>
      <c r="F501" s="19" t="s">
        <v>14</v>
      </c>
      <c r="G501" s="19">
        <v>11.8</v>
      </c>
      <c r="H501" s="34">
        <v>239</v>
      </c>
      <c r="I501" s="19" t="s">
        <v>1222</v>
      </c>
      <c r="J501" s="19" t="s">
        <v>1223</v>
      </c>
      <c r="K501" s="34"/>
      <c r="L501" s="36">
        <f t="shared" si="8"/>
        <v>5.760223535586305</v>
      </c>
      <c r="M501" s="37"/>
      <c r="N501" s="37"/>
      <c r="O501" s="37"/>
      <c r="P501" s="37"/>
      <c r="Q501" s="37"/>
      <c r="R501" s="41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ht="15.75" thickBot="1">
      <c r="A502" s="20" t="s">
        <v>10</v>
      </c>
      <c r="B502" s="42" t="s">
        <v>49</v>
      </c>
      <c r="C502" s="43">
        <v>44226.354166666664</v>
      </c>
      <c r="D502" s="47" t="s">
        <v>1224</v>
      </c>
      <c r="E502" s="47" t="s">
        <v>13</v>
      </c>
      <c r="F502" s="47" t="s">
        <v>14</v>
      </c>
      <c r="G502" s="47" t="s">
        <v>136</v>
      </c>
      <c r="H502" s="48">
        <v>207</v>
      </c>
      <c r="I502" s="47" t="s">
        <v>1225</v>
      </c>
      <c r="J502" s="47" t="s">
        <v>1226</v>
      </c>
      <c r="K502" s="48"/>
      <c r="L502" s="49">
        <f t="shared" si="8"/>
        <v>19.255832688441672</v>
      </c>
      <c r="M502" s="50"/>
      <c r="N502" s="50"/>
      <c r="O502" s="50"/>
      <c r="P502" s="50"/>
      <c r="Q502" s="50"/>
      <c r="R502" s="51"/>
      <c r="S502" s="44" t="s">
        <v>1510</v>
      </c>
      <c r="T502" s="6"/>
      <c r="U502" s="6"/>
      <c r="V502" s="6"/>
      <c r="W502" s="6"/>
      <c r="X502" s="6"/>
      <c r="Y502" s="6"/>
      <c r="Z502" s="6"/>
      <c r="AA502" s="6"/>
      <c r="AB502" s="6"/>
    </row>
    <row r="503" spans="1:28" ht="15">
      <c r="A503" s="20" t="s">
        <v>10</v>
      </c>
      <c r="B503" s="24" t="s">
        <v>58</v>
      </c>
      <c r="C503" s="25">
        <v>44226.291666666664</v>
      </c>
      <c r="D503" s="26" t="s">
        <v>1227</v>
      </c>
      <c r="E503" s="26" t="s">
        <v>13</v>
      </c>
      <c r="F503" s="26" t="s">
        <v>14</v>
      </c>
      <c r="G503" s="26">
        <v>0.4</v>
      </c>
      <c r="H503" s="27">
        <v>316</v>
      </c>
      <c r="I503" s="26" t="s">
        <v>1228</v>
      </c>
      <c r="J503" s="26" t="s">
        <v>1229</v>
      </c>
      <c r="K503" s="27"/>
      <c r="L503" s="28">
        <f t="shared" si="8"/>
        <v>0.12976681060297332</v>
      </c>
      <c r="M503" s="29"/>
      <c r="N503" s="30" t="s">
        <v>271</v>
      </c>
      <c r="O503" s="30" t="s">
        <v>23</v>
      </c>
      <c r="P503" s="30" t="s">
        <v>1498</v>
      </c>
      <c r="Q503" s="30" t="s">
        <v>1495</v>
      </c>
      <c r="R503" s="31" t="s">
        <v>1499</v>
      </c>
      <c r="S503" s="45">
        <f>(C502 - C503)*24</f>
        <v>1.5</v>
      </c>
      <c r="T503" s="6"/>
      <c r="U503" s="6"/>
      <c r="V503" s="6"/>
      <c r="W503" s="6"/>
      <c r="X503" s="6"/>
      <c r="Y503" s="6"/>
      <c r="Z503" s="6"/>
      <c r="AA503" s="6"/>
      <c r="AB503" s="6"/>
    </row>
    <row r="504" spans="1:28" ht="15">
      <c r="A504" s="20" t="s">
        <v>10</v>
      </c>
      <c r="B504" s="32" t="s">
        <v>33</v>
      </c>
      <c r="C504" s="33">
        <v>44226.197222222225</v>
      </c>
      <c r="D504" s="19" t="s">
        <v>167</v>
      </c>
      <c r="E504" s="19" t="s">
        <v>13</v>
      </c>
      <c r="F504" s="19" t="s">
        <v>14</v>
      </c>
      <c r="G504" s="19">
        <v>6.3</v>
      </c>
      <c r="H504" s="34">
        <v>252</v>
      </c>
      <c r="I504" s="19" t="s">
        <v>1230</v>
      </c>
      <c r="J504" s="19" t="s">
        <v>1231</v>
      </c>
      <c r="K504" s="34"/>
      <c r="L504" s="36">
        <f t="shared" si="8"/>
        <v>24.603215519663141</v>
      </c>
      <c r="M504" s="37"/>
      <c r="N504" s="38" t="s">
        <v>1535</v>
      </c>
      <c r="O504" s="38" t="s">
        <v>1555</v>
      </c>
      <c r="P504" s="39">
        <f>SUM(L503:L510)</f>
        <v>52.560397801935615</v>
      </c>
      <c r="Q504" s="39">
        <f>AVERAGE(G504:G510)</f>
        <v>7.0142857142857142</v>
      </c>
      <c r="R504" s="46">
        <f>(C503 - C510)*24</f>
        <v>4.1833333333488554</v>
      </c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ht="15">
      <c r="A505" s="20" t="s">
        <v>10</v>
      </c>
      <c r="B505" s="32" t="s">
        <v>33</v>
      </c>
      <c r="C505" s="33">
        <v>44226.188888888886</v>
      </c>
      <c r="D505" s="19" t="s">
        <v>654</v>
      </c>
      <c r="E505" s="19" t="s">
        <v>13</v>
      </c>
      <c r="F505" s="19" t="s">
        <v>14</v>
      </c>
      <c r="G505" s="19">
        <v>6.9</v>
      </c>
      <c r="H505" s="34">
        <v>282</v>
      </c>
      <c r="I505" s="19" t="s">
        <v>1232</v>
      </c>
      <c r="J505" s="19" t="s">
        <v>1233</v>
      </c>
      <c r="K505" s="34"/>
      <c r="L505" s="36">
        <f t="shared" si="8"/>
        <v>2.3348713568804031</v>
      </c>
      <c r="M505" s="37"/>
      <c r="N505" s="37"/>
      <c r="O505" s="37"/>
      <c r="P505" s="37"/>
      <c r="Q505" s="37"/>
      <c r="R505" s="41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ht="15">
      <c r="A506" s="20" t="s">
        <v>10</v>
      </c>
      <c r="B506" s="32" t="s">
        <v>33</v>
      </c>
      <c r="C506" s="33">
        <v>44226.178472222222</v>
      </c>
      <c r="D506" s="19" t="s">
        <v>1234</v>
      </c>
      <c r="E506" s="19" t="s">
        <v>13</v>
      </c>
      <c r="F506" s="19" t="s">
        <v>14</v>
      </c>
      <c r="G506" s="19">
        <v>7.5</v>
      </c>
      <c r="H506" s="34">
        <v>327</v>
      </c>
      <c r="I506" s="19" t="s">
        <v>1235</v>
      </c>
      <c r="J506" s="19" t="s">
        <v>1236</v>
      </c>
      <c r="K506" s="34"/>
      <c r="L506" s="36">
        <f t="shared" si="8"/>
        <v>3.7384420376779031</v>
      </c>
      <c r="M506" s="37"/>
      <c r="N506" s="37"/>
      <c r="O506" s="37"/>
      <c r="P506" s="37"/>
      <c r="Q506" s="37"/>
      <c r="R506" s="41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ht="15">
      <c r="A507" s="20" t="s">
        <v>10</v>
      </c>
      <c r="B507" s="32" t="s">
        <v>33</v>
      </c>
      <c r="C507" s="33">
        <v>44226.163194444445</v>
      </c>
      <c r="D507" s="19" t="s">
        <v>256</v>
      </c>
      <c r="E507" s="19" t="s">
        <v>13</v>
      </c>
      <c r="F507" s="19" t="s">
        <v>14</v>
      </c>
      <c r="G507" s="19">
        <v>7.6</v>
      </c>
      <c r="H507" s="34">
        <v>290</v>
      </c>
      <c r="I507" s="19" t="s">
        <v>1237</v>
      </c>
      <c r="J507" s="19" t="s">
        <v>1238</v>
      </c>
      <c r="K507" s="34"/>
      <c r="L507" s="36">
        <f t="shared" si="8"/>
        <v>5.2349386024015887</v>
      </c>
      <c r="M507" s="37"/>
      <c r="N507" s="37"/>
      <c r="O507" s="37"/>
      <c r="P507" s="37"/>
      <c r="Q507" s="37"/>
      <c r="R507" s="41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ht="15">
      <c r="A508" s="20" t="s">
        <v>10</v>
      </c>
      <c r="B508" s="32" t="s">
        <v>33</v>
      </c>
      <c r="C508" s="33">
        <v>44226.152777777781</v>
      </c>
      <c r="D508" s="19" t="s">
        <v>1239</v>
      </c>
      <c r="E508" s="19" t="s">
        <v>13</v>
      </c>
      <c r="F508" s="19" t="s">
        <v>14</v>
      </c>
      <c r="G508" s="19">
        <v>8.1</v>
      </c>
      <c r="H508" s="34">
        <v>334</v>
      </c>
      <c r="I508" s="19" t="s">
        <v>1240</v>
      </c>
      <c r="J508" s="19" t="s">
        <v>1241</v>
      </c>
      <c r="K508" s="34"/>
      <c r="L508" s="36">
        <f t="shared" si="8"/>
        <v>3.4917265110735305</v>
      </c>
      <c r="M508" s="37"/>
      <c r="N508" s="37"/>
      <c r="O508" s="37"/>
      <c r="P508" s="37"/>
      <c r="Q508" s="37"/>
      <c r="R508" s="41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ht="15">
      <c r="A509" s="20" t="s">
        <v>10</v>
      </c>
      <c r="B509" s="32" t="s">
        <v>33</v>
      </c>
      <c r="C509" s="33">
        <v>44226.145833333336</v>
      </c>
      <c r="D509" s="19" t="s">
        <v>1242</v>
      </c>
      <c r="E509" s="19" t="s">
        <v>13</v>
      </c>
      <c r="F509" s="19" t="s">
        <v>14</v>
      </c>
      <c r="G509" s="19">
        <v>8.1</v>
      </c>
      <c r="H509" s="34">
        <v>303</v>
      </c>
      <c r="I509" s="19" t="s">
        <v>1243</v>
      </c>
      <c r="J509" s="19" t="s">
        <v>1244</v>
      </c>
      <c r="K509" s="34"/>
      <c r="L509" s="36">
        <f t="shared" si="8"/>
        <v>2.4297088960139321</v>
      </c>
      <c r="M509" s="37"/>
      <c r="N509" s="37"/>
      <c r="O509" s="37"/>
      <c r="P509" s="37"/>
      <c r="Q509" s="37"/>
      <c r="R509" s="41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ht="15.75" thickBot="1">
      <c r="A510" s="20" t="s">
        <v>10</v>
      </c>
      <c r="B510" s="42" t="s">
        <v>49</v>
      </c>
      <c r="C510" s="43">
        <v>44226.117361111108</v>
      </c>
      <c r="D510" s="47" t="s">
        <v>1245</v>
      </c>
      <c r="E510" s="47" t="s">
        <v>13</v>
      </c>
      <c r="F510" s="47" t="s">
        <v>14</v>
      </c>
      <c r="G510" s="47">
        <v>4.5999999999999996</v>
      </c>
      <c r="H510" s="48">
        <v>259</v>
      </c>
      <c r="I510" s="47" t="s">
        <v>1246</v>
      </c>
      <c r="J510" s="47" t="s">
        <v>1247</v>
      </c>
      <c r="K510" s="48"/>
      <c r="L510" s="49">
        <f t="shared" si="8"/>
        <v>10.597728067622141</v>
      </c>
      <c r="M510" s="50"/>
      <c r="N510" s="50"/>
      <c r="O510" s="50"/>
      <c r="P510" s="50"/>
      <c r="Q510" s="50"/>
      <c r="R510" s="51"/>
      <c r="S510" s="44" t="s">
        <v>1510</v>
      </c>
      <c r="T510" s="6"/>
      <c r="U510" s="6"/>
      <c r="V510" s="6"/>
      <c r="W510" s="6"/>
      <c r="X510" s="6"/>
      <c r="Y510" s="6"/>
      <c r="Z510" s="6"/>
      <c r="AA510" s="6"/>
      <c r="AB510" s="6"/>
    </row>
    <row r="511" spans="1:28" ht="15">
      <c r="A511" s="20" t="s">
        <v>10</v>
      </c>
      <c r="B511" s="24" t="s">
        <v>58</v>
      </c>
      <c r="C511" s="25">
        <v>44226.036805555559</v>
      </c>
      <c r="D511" s="26" t="s">
        <v>1248</v>
      </c>
      <c r="E511" s="26" t="s">
        <v>13</v>
      </c>
      <c r="F511" s="26" t="s">
        <v>14</v>
      </c>
      <c r="G511" s="26">
        <v>0.3</v>
      </c>
      <c r="H511" s="27">
        <v>315</v>
      </c>
      <c r="I511" s="26" t="s">
        <v>1249</v>
      </c>
      <c r="J511" s="26" t="s">
        <v>1250</v>
      </c>
      <c r="K511" s="27"/>
      <c r="L511" s="28">
        <f t="shared" si="8"/>
        <v>9.0257135299730287</v>
      </c>
      <c r="M511" s="29"/>
      <c r="N511" s="30" t="s">
        <v>271</v>
      </c>
      <c r="O511" s="30" t="s">
        <v>23</v>
      </c>
      <c r="P511" s="30" t="s">
        <v>1498</v>
      </c>
      <c r="Q511" s="30" t="s">
        <v>1495</v>
      </c>
      <c r="R511" s="31" t="s">
        <v>1499</v>
      </c>
      <c r="S511" s="45">
        <f>(C510 - C511)*24</f>
        <v>1.9333333331742324</v>
      </c>
      <c r="T511" s="6"/>
      <c r="U511" s="6"/>
      <c r="V511" s="6"/>
      <c r="W511" s="6"/>
      <c r="X511" s="6"/>
      <c r="Y511" s="6"/>
      <c r="Z511" s="6"/>
      <c r="AA511" s="6"/>
      <c r="AB511" s="6"/>
    </row>
    <row r="512" spans="1:28" ht="15">
      <c r="A512" s="20" t="s">
        <v>10</v>
      </c>
      <c r="B512" s="32" t="s">
        <v>28</v>
      </c>
      <c r="C512" s="33">
        <v>44225.966666666667</v>
      </c>
      <c r="D512" s="19" t="s">
        <v>1251</v>
      </c>
      <c r="E512" s="19" t="s">
        <v>13</v>
      </c>
      <c r="F512" s="19" t="s">
        <v>14</v>
      </c>
      <c r="G512" s="19">
        <v>2.2999999999999998</v>
      </c>
      <c r="H512" s="34">
        <v>77</v>
      </c>
      <c r="I512" s="19" t="s">
        <v>1252</v>
      </c>
      <c r="J512" s="19" t="s">
        <v>1253</v>
      </c>
      <c r="K512" s="34"/>
      <c r="L512" s="36">
        <f t="shared" si="8"/>
        <v>3.5372109218663033</v>
      </c>
      <c r="M512" s="37"/>
      <c r="N512" s="38" t="s">
        <v>1556</v>
      </c>
      <c r="O512" s="38" t="s">
        <v>1535</v>
      </c>
      <c r="P512" s="39">
        <f>SUM(L511:L513)</f>
        <v>17.38091096117072</v>
      </c>
      <c r="Q512" s="39">
        <f>AVERAGE(G511:G513)</f>
        <v>2.3333333333333335</v>
      </c>
      <c r="R512" s="46">
        <f>(C511 - C513)*24</f>
        <v>2.6500000000814907</v>
      </c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ht="15.75" thickBot="1">
      <c r="A513" s="20" t="s">
        <v>10</v>
      </c>
      <c r="B513" s="42" t="s">
        <v>49</v>
      </c>
      <c r="C513" s="43">
        <v>44225.926388888889</v>
      </c>
      <c r="D513" s="47" t="s">
        <v>1254</v>
      </c>
      <c r="E513" s="47" t="s">
        <v>13</v>
      </c>
      <c r="F513" s="47" t="s">
        <v>14</v>
      </c>
      <c r="G513" s="47">
        <v>4.4000000000000004</v>
      </c>
      <c r="H513" s="48">
        <v>47</v>
      </c>
      <c r="I513" s="47" t="s">
        <v>1255</v>
      </c>
      <c r="J513" s="47" t="s">
        <v>1256</v>
      </c>
      <c r="K513" s="48"/>
      <c r="L513" s="49">
        <f t="shared" si="8"/>
        <v>4.8179865093313889</v>
      </c>
      <c r="M513" s="50"/>
      <c r="N513" s="50"/>
      <c r="O513" s="50"/>
      <c r="P513" s="50"/>
      <c r="Q513" s="50"/>
      <c r="R513" s="51"/>
      <c r="S513" s="44" t="s">
        <v>1510</v>
      </c>
      <c r="T513" s="6"/>
      <c r="U513" s="6"/>
      <c r="V513" s="6"/>
      <c r="W513" s="6"/>
      <c r="X513" s="6"/>
      <c r="Y513" s="6"/>
      <c r="Z513" s="6"/>
      <c r="AA513" s="6"/>
      <c r="AB513" s="6"/>
    </row>
    <row r="514" spans="1:28" ht="15">
      <c r="A514" s="20" t="s">
        <v>10</v>
      </c>
      <c r="B514" s="24" t="s">
        <v>58</v>
      </c>
      <c r="C514" s="25">
        <v>44225.88958333333</v>
      </c>
      <c r="D514" s="26" t="s">
        <v>1257</v>
      </c>
      <c r="E514" s="26" t="s">
        <v>13</v>
      </c>
      <c r="F514" s="26" t="s">
        <v>14</v>
      </c>
      <c r="G514" s="26">
        <v>0.2</v>
      </c>
      <c r="H514" s="27">
        <v>276</v>
      </c>
      <c r="I514" s="26" t="s">
        <v>1258</v>
      </c>
      <c r="J514" s="26" t="s">
        <v>1259</v>
      </c>
      <c r="K514" s="27"/>
      <c r="L514" s="28">
        <f t="shared" si="8"/>
        <v>0.41217767651172582</v>
      </c>
      <c r="M514" s="29"/>
      <c r="N514" s="30" t="s">
        <v>271</v>
      </c>
      <c r="O514" s="30" t="s">
        <v>23</v>
      </c>
      <c r="P514" s="30" t="s">
        <v>1498</v>
      </c>
      <c r="Q514" s="30" t="s">
        <v>1495</v>
      </c>
      <c r="R514" s="31" t="s">
        <v>1499</v>
      </c>
      <c r="S514" s="45">
        <f>(C513 - C514)*24</f>
        <v>0.88333333341870457</v>
      </c>
      <c r="T514" s="6"/>
      <c r="U514" s="6"/>
      <c r="V514" s="6"/>
      <c r="W514" s="6"/>
      <c r="X514" s="6"/>
      <c r="Y514" s="6"/>
      <c r="Z514" s="6"/>
      <c r="AA514" s="6"/>
      <c r="AB514" s="6"/>
    </row>
    <row r="515" spans="1:28" ht="15">
      <c r="A515" s="20" t="s">
        <v>10</v>
      </c>
      <c r="B515" s="32" t="s">
        <v>33</v>
      </c>
      <c r="C515" s="33">
        <v>44225.87777777778</v>
      </c>
      <c r="D515" s="19" t="s">
        <v>1260</v>
      </c>
      <c r="E515" s="19" t="s">
        <v>13</v>
      </c>
      <c r="F515" s="19" t="s">
        <v>14</v>
      </c>
      <c r="G515" s="19">
        <v>10.5</v>
      </c>
      <c r="H515" s="34">
        <v>170</v>
      </c>
      <c r="I515" s="19" t="s">
        <v>1261</v>
      </c>
      <c r="J515" s="19" t="s">
        <v>1262</v>
      </c>
      <c r="K515" s="34"/>
      <c r="L515" s="36">
        <f t="shared" si="8"/>
        <v>3.16210421834655</v>
      </c>
      <c r="M515" s="37"/>
      <c r="N515" s="38" t="s">
        <v>1557</v>
      </c>
      <c r="O515" s="38" t="s">
        <v>1556</v>
      </c>
      <c r="P515" s="39">
        <f>SUM(L514:L517)</f>
        <v>14.074916264369842</v>
      </c>
      <c r="Q515" s="39">
        <f>AVERAGE(G515:G517)</f>
        <v>8.7999999999999989</v>
      </c>
      <c r="R515" s="46">
        <f>(C514 - C517)*24</f>
        <v>0.79999999998835847</v>
      </c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ht="15">
      <c r="A516" s="20" t="s">
        <v>10</v>
      </c>
      <c r="B516" s="32" t="s">
        <v>33</v>
      </c>
      <c r="C516" s="33">
        <v>44225.863888888889</v>
      </c>
      <c r="D516" s="19" t="s">
        <v>1263</v>
      </c>
      <c r="E516" s="19" t="s">
        <v>13</v>
      </c>
      <c r="F516" s="19" t="s">
        <v>14</v>
      </c>
      <c r="G516" s="19">
        <v>11.9</v>
      </c>
      <c r="H516" s="34">
        <v>201</v>
      </c>
      <c r="I516" s="19" t="s">
        <v>1264</v>
      </c>
      <c r="J516" s="19" t="s">
        <v>1265</v>
      </c>
      <c r="K516" s="34"/>
      <c r="L516" s="36">
        <f t="shared" si="8"/>
        <v>6.9686436779910865</v>
      </c>
      <c r="M516" s="37"/>
      <c r="N516" s="37"/>
      <c r="O516" s="37"/>
      <c r="P516" s="37"/>
      <c r="Q516" s="37"/>
      <c r="R516" s="41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ht="15.75" thickBot="1">
      <c r="A517" s="20" t="s">
        <v>10</v>
      </c>
      <c r="B517" s="42" t="s">
        <v>49</v>
      </c>
      <c r="C517" s="43">
        <v>44225.856249999997</v>
      </c>
      <c r="D517" s="47" t="s">
        <v>1266</v>
      </c>
      <c r="E517" s="47" t="s">
        <v>13</v>
      </c>
      <c r="F517" s="47" t="s">
        <v>14</v>
      </c>
      <c r="G517" s="47">
        <v>4</v>
      </c>
      <c r="H517" s="48">
        <v>153</v>
      </c>
      <c r="I517" s="47" t="s">
        <v>1267</v>
      </c>
      <c r="J517" s="47" t="s">
        <v>1268</v>
      </c>
      <c r="K517" s="48"/>
      <c r="L517" s="49">
        <f t="shared" si="8"/>
        <v>3.5319906915204786</v>
      </c>
      <c r="M517" s="50"/>
      <c r="N517" s="50"/>
      <c r="O517" s="50"/>
      <c r="P517" s="50"/>
      <c r="Q517" s="50"/>
      <c r="R517" s="51"/>
      <c r="S517" s="44" t="s">
        <v>1510</v>
      </c>
      <c r="T517" s="6"/>
      <c r="U517" s="392" t="s">
        <v>1564</v>
      </c>
      <c r="V517" s="392"/>
      <c r="W517" s="392"/>
      <c r="X517" s="6"/>
      <c r="Y517" s="6"/>
      <c r="Z517" s="6"/>
      <c r="AA517" s="6"/>
      <c r="AB517" s="6"/>
    </row>
    <row r="518" spans="1:28" ht="15">
      <c r="A518" s="20" t="s">
        <v>10</v>
      </c>
      <c r="B518" s="24" t="s">
        <v>58</v>
      </c>
      <c r="C518" s="25">
        <v>44225.808333333334</v>
      </c>
      <c r="D518" s="26" t="s">
        <v>1269</v>
      </c>
      <c r="E518" s="26" t="s">
        <v>13</v>
      </c>
      <c r="F518" s="26" t="s">
        <v>14</v>
      </c>
      <c r="G518" s="26">
        <v>0</v>
      </c>
      <c r="H518" s="27">
        <v>162</v>
      </c>
      <c r="I518" s="26" t="s">
        <v>1270</v>
      </c>
      <c r="J518" s="26" t="s">
        <v>1271</v>
      </c>
      <c r="K518" s="27"/>
      <c r="L518" s="28">
        <f t="shared" si="8"/>
        <v>0.27515016277111243</v>
      </c>
      <c r="M518" s="29"/>
      <c r="N518" s="30" t="s">
        <v>271</v>
      </c>
      <c r="O518" s="30" t="s">
        <v>23</v>
      </c>
      <c r="P518" s="30" t="s">
        <v>1498</v>
      </c>
      <c r="Q518" s="30" t="s">
        <v>1495</v>
      </c>
      <c r="R518" s="31" t="s">
        <v>1499</v>
      </c>
      <c r="S518" s="45">
        <f>(C517 - C518)*24</f>
        <v>1.1499999999068677</v>
      </c>
      <c r="T518" s="6"/>
      <c r="U518" s="52" t="s">
        <v>1498</v>
      </c>
      <c r="V518" s="52" t="s">
        <v>1512</v>
      </c>
      <c r="W518" s="52" t="s">
        <v>1513</v>
      </c>
      <c r="X518" s="6"/>
      <c r="Y518" s="6"/>
      <c r="Z518" s="6"/>
      <c r="AA518" s="6"/>
      <c r="AB518" s="6"/>
    </row>
    <row r="519" spans="1:28" ht="15">
      <c r="A519" s="20" t="s">
        <v>10</v>
      </c>
      <c r="B519" s="32" t="s">
        <v>33</v>
      </c>
      <c r="C519" s="33">
        <v>44225.760416666664</v>
      </c>
      <c r="D519" s="19" t="s">
        <v>1272</v>
      </c>
      <c r="E519" s="19" t="s">
        <v>13</v>
      </c>
      <c r="F519" s="19" t="s">
        <v>14</v>
      </c>
      <c r="G519" s="19">
        <v>11.9</v>
      </c>
      <c r="H519" s="34">
        <v>191</v>
      </c>
      <c r="I519" s="19" t="s">
        <v>1273</v>
      </c>
      <c r="J519" s="19" t="s">
        <v>1274</v>
      </c>
      <c r="K519" s="34"/>
      <c r="L519" s="36">
        <f t="shared" si="8"/>
        <v>21.711098764323552</v>
      </c>
      <c r="M519" s="37"/>
      <c r="N519" s="38" t="s">
        <v>1558</v>
      </c>
      <c r="O519" s="38" t="s">
        <v>1557</v>
      </c>
      <c r="P519" s="39">
        <f>SUM(L518:L523)</f>
        <v>41.275081086954927</v>
      </c>
      <c r="Q519" s="39">
        <f>AVERAGE(G519:G522)</f>
        <v>11.5</v>
      </c>
      <c r="R519" s="46">
        <f>(C518 - C523)*24</f>
        <v>2.1000000000349246</v>
      </c>
      <c r="S519" s="6"/>
      <c r="T519" s="6"/>
      <c r="U519" s="53">
        <f>SUM(P482,P497,P504,P512,P515,P519,P525,P530,P536,P540,P547)</f>
        <v>852.06674524162293</v>
      </c>
      <c r="V519" s="53">
        <f>SUM(R482,R497,R504,R512,R515,R519,R525,R530,R536,R540,R547)</f>
        <v>52.616666666872334</v>
      </c>
      <c r="W519" s="53">
        <f>SUM(S496,S503,S511,S514,S518,S524,S529,S535,S539,S546)</f>
        <v>11.133333332953043</v>
      </c>
      <c r="X519" s="6"/>
      <c r="Y519" s="6"/>
      <c r="Z519" s="6"/>
      <c r="AA519" s="6"/>
      <c r="AB519" s="6"/>
    </row>
    <row r="520" spans="1:28" ht="15">
      <c r="A520" s="20" t="s">
        <v>10</v>
      </c>
      <c r="B520" s="32" t="s">
        <v>33</v>
      </c>
      <c r="C520" s="33">
        <v>44225.742361111108</v>
      </c>
      <c r="D520" s="19" t="s">
        <v>1275</v>
      </c>
      <c r="E520" s="19" t="s">
        <v>13</v>
      </c>
      <c r="F520" s="19" t="s">
        <v>14</v>
      </c>
      <c r="G520" s="19">
        <v>10.7</v>
      </c>
      <c r="H520" s="34">
        <v>161</v>
      </c>
      <c r="I520" s="19" t="s">
        <v>1276</v>
      </c>
      <c r="J520" s="19" t="s">
        <v>1277</v>
      </c>
      <c r="K520" s="34"/>
      <c r="L520" s="36">
        <f t="shared" si="8"/>
        <v>9.3596194701355362</v>
      </c>
      <c r="M520" s="37"/>
      <c r="N520" s="37"/>
      <c r="O520" s="37"/>
      <c r="P520" s="37"/>
      <c r="Q520" s="37"/>
      <c r="R520" s="41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ht="15">
      <c r="A521" s="20" t="s">
        <v>10</v>
      </c>
      <c r="B521" s="32" t="s">
        <v>33</v>
      </c>
      <c r="C521" s="33">
        <v>44225.73541666667</v>
      </c>
      <c r="D521" s="19" t="s">
        <v>916</v>
      </c>
      <c r="E521" s="19" t="s">
        <v>13</v>
      </c>
      <c r="F521" s="19" t="s">
        <v>14</v>
      </c>
      <c r="G521" s="19">
        <v>12.4</v>
      </c>
      <c r="H521" s="34">
        <v>255</v>
      </c>
      <c r="I521" s="19" t="s">
        <v>1278</v>
      </c>
      <c r="J521" s="19" t="s">
        <v>1279</v>
      </c>
      <c r="K521" s="34"/>
      <c r="L521" s="36">
        <f t="shared" si="8"/>
        <v>3.0424562198586389</v>
      </c>
      <c r="M521" s="37"/>
      <c r="N521" s="37"/>
      <c r="O521" s="37"/>
      <c r="P521" s="37"/>
      <c r="Q521" s="37"/>
      <c r="R521" s="41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ht="15">
      <c r="A522" s="20" t="s">
        <v>10</v>
      </c>
      <c r="B522" s="32" t="s">
        <v>33</v>
      </c>
      <c r="C522" s="33">
        <v>44225.727777777778</v>
      </c>
      <c r="D522" s="19" t="s">
        <v>525</v>
      </c>
      <c r="E522" s="19" t="s">
        <v>13</v>
      </c>
      <c r="F522" s="19" t="s">
        <v>14</v>
      </c>
      <c r="G522" s="19">
        <v>11</v>
      </c>
      <c r="H522" s="34">
        <v>223</v>
      </c>
      <c r="I522" s="19" t="s">
        <v>1280</v>
      </c>
      <c r="J522" s="19" t="s">
        <v>1281</v>
      </c>
      <c r="K522" s="34"/>
      <c r="L522" s="36">
        <f t="shared" si="8"/>
        <v>4.0140963105016727</v>
      </c>
      <c r="M522" s="37"/>
      <c r="N522" s="37"/>
      <c r="O522" s="37"/>
      <c r="P522" s="37"/>
      <c r="Q522" s="37"/>
      <c r="R522" s="41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ht="15.75" thickBot="1">
      <c r="A523" s="20" t="s">
        <v>10</v>
      </c>
      <c r="B523" s="42" t="s">
        <v>49</v>
      </c>
      <c r="C523" s="43">
        <v>44225.720833333333</v>
      </c>
      <c r="D523" s="47" t="s">
        <v>1282</v>
      </c>
      <c r="E523" s="47" t="s">
        <v>13</v>
      </c>
      <c r="F523" s="47" t="s">
        <v>14</v>
      </c>
      <c r="G523" s="47" t="s">
        <v>191</v>
      </c>
      <c r="H523" s="48">
        <v>150</v>
      </c>
      <c r="I523" s="47" t="s">
        <v>1283</v>
      </c>
      <c r="J523" s="47" t="s">
        <v>1284</v>
      </c>
      <c r="K523" s="48"/>
      <c r="L523" s="49">
        <f t="shared" si="8"/>
        <v>2.8726601593644245</v>
      </c>
      <c r="M523" s="50"/>
      <c r="N523" s="50"/>
      <c r="O523" s="50"/>
      <c r="P523" s="50"/>
      <c r="Q523" s="50"/>
      <c r="R523" s="51"/>
      <c r="S523" s="44" t="s">
        <v>1510</v>
      </c>
      <c r="T523" s="6"/>
      <c r="U523" s="6"/>
      <c r="V523" s="6"/>
      <c r="W523" s="6"/>
      <c r="X523" s="6"/>
      <c r="Y523" s="6"/>
      <c r="Z523" s="6"/>
      <c r="AA523" s="6"/>
      <c r="AB523" s="6"/>
    </row>
    <row r="524" spans="1:28" ht="15">
      <c r="A524" s="20" t="s">
        <v>10</v>
      </c>
      <c r="B524" s="24" t="s">
        <v>155</v>
      </c>
      <c r="C524" s="25">
        <v>44225.696527777778</v>
      </c>
      <c r="D524" s="26" t="s">
        <v>1285</v>
      </c>
      <c r="E524" s="26" t="s">
        <v>13</v>
      </c>
      <c r="F524" s="26" t="s">
        <v>14</v>
      </c>
      <c r="G524" s="26">
        <v>0.1</v>
      </c>
      <c r="H524" s="27">
        <v>151</v>
      </c>
      <c r="I524" s="26" t="s">
        <v>1286</v>
      </c>
      <c r="J524" s="26" t="s">
        <v>1287</v>
      </c>
      <c r="K524" s="27"/>
      <c r="L524" s="28">
        <f t="shared" ref="L524:L587" si="9">ACOS((SIN(I523*PI()/180)*SIN(I524*PI()/180)+COS(I523*PI()/180)*COS(I524*PI()/180)*COS(J524*PI()/180-J523*PI()/180)))*3443.8985*1.852</f>
        <v>0.11442624373838425</v>
      </c>
      <c r="M524" s="29"/>
      <c r="N524" s="30" t="s">
        <v>271</v>
      </c>
      <c r="O524" s="30" t="s">
        <v>23</v>
      </c>
      <c r="P524" s="30" t="s">
        <v>1498</v>
      </c>
      <c r="Q524" s="30" t="s">
        <v>1495</v>
      </c>
      <c r="R524" s="31" t="s">
        <v>1499</v>
      </c>
      <c r="S524" s="45">
        <f>(C523 - C526)*24</f>
        <v>0.94999999995343387</v>
      </c>
      <c r="T524" s="6"/>
      <c r="U524" s="6"/>
      <c r="V524" s="6"/>
      <c r="W524" s="6"/>
      <c r="X524" s="6"/>
      <c r="Y524" s="6"/>
      <c r="Z524" s="6"/>
      <c r="AA524" s="6"/>
      <c r="AB524" s="6"/>
    </row>
    <row r="525" spans="1:28" ht="15">
      <c r="A525" s="20" t="s">
        <v>10</v>
      </c>
      <c r="B525" s="32" t="s">
        <v>159</v>
      </c>
      <c r="C525" s="33">
        <v>44225.6875</v>
      </c>
      <c r="D525" s="19" t="s">
        <v>1288</v>
      </c>
      <c r="E525" s="19" t="s">
        <v>13</v>
      </c>
      <c r="F525" s="19" t="s">
        <v>14</v>
      </c>
      <c r="G525" s="19">
        <v>0.1</v>
      </c>
      <c r="H525" s="34">
        <v>151</v>
      </c>
      <c r="I525" s="19" t="s">
        <v>1286</v>
      </c>
      <c r="J525" s="19" t="s">
        <v>1287</v>
      </c>
      <c r="K525" s="34"/>
      <c r="L525" s="36">
        <f t="shared" si="9"/>
        <v>9.5041096538305277E-5</v>
      </c>
      <c r="M525" s="37"/>
      <c r="N525" s="38" t="s">
        <v>1559</v>
      </c>
      <c r="O525" s="38" t="s">
        <v>1558</v>
      </c>
      <c r="P525" s="39">
        <f>SUM(L524:L528)</f>
        <v>9.3050508258617164</v>
      </c>
      <c r="Q525" s="39">
        <f>AVERAGE(G527:G528)</f>
        <v>7.1499999999999995</v>
      </c>
      <c r="R525" s="46">
        <f>(C524 - C528)*24</f>
        <v>0.91666666668606922</v>
      </c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ht="15">
      <c r="A526" s="20" t="s">
        <v>10</v>
      </c>
      <c r="B526" s="32" t="s">
        <v>58</v>
      </c>
      <c r="C526" s="33">
        <v>44225.681250000001</v>
      </c>
      <c r="D526" s="19" t="s">
        <v>1289</v>
      </c>
      <c r="E526" s="19" t="s">
        <v>13</v>
      </c>
      <c r="F526" s="19" t="s">
        <v>14</v>
      </c>
      <c r="G526" s="19">
        <v>0.8</v>
      </c>
      <c r="H526" s="34">
        <v>137</v>
      </c>
      <c r="I526" s="19" t="s">
        <v>1290</v>
      </c>
      <c r="J526" s="19" t="s">
        <v>1291</v>
      </c>
      <c r="K526" s="34"/>
      <c r="L526" s="36">
        <f t="shared" si="9"/>
        <v>0.13249420853308191</v>
      </c>
      <c r="M526" s="37"/>
      <c r="N526" s="37"/>
      <c r="O526" s="37"/>
      <c r="P526" s="37"/>
      <c r="Q526" s="37"/>
      <c r="R526" s="41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ht="15">
      <c r="A527" s="20" t="s">
        <v>10</v>
      </c>
      <c r="B527" s="32" t="s">
        <v>33</v>
      </c>
      <c r="C527" s="33">
        <v>44225.665277777778</v>
      </c>
      <c r="D527" s="19" t="s">
        <v>1260</v>
      </c>
      <c r="E527" s="19" t="s">
        <v>13</v>
      </c>
      <c r="F527" s="19" t="s">
        <v>14</v>
      </c>
      <c r="G527" s="19">
        <v>9.6999999999999993</v>
      </c>
      <c r="H527" s="34">
        <v>170</v>
      </c>
      <c r="I527" s="19" t="s">
        <v>1292</v>
      </c>
      <c r="J527" s="19" t="s">
        <v>1293</v>
      </c>
      <c r="K527" s="34"/>
      <c r="L527" s="36">
        <f t="shared" si="9"/>
        <v>6.0856894607120431</v>
      </c>
      <c r="M527" s="37"/>
      <c r="N527" s="37"/>
      <c r="O527" s="37"/>
      <c r="P527" s="37"/>
      <c r="Q527" s="37"/>
      <c r="R527" s="41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ht="15.75" thickBot="1">
      <c r="A528" s="20" t="s">
        <v>10</v>
      </c>
      <c r="B528" s="42" t="s">
        <v>49</v>
      </c>
      <c r="C528" s="43">
        <v>44225.658333333333</v>
      </c>
      <c r="D528" s="47" t="s">
        <v>1294</v>
      </c>
      <c r="E528" s="47" t="s">
        <v>13</v>
      </c>
      <c r="F528" s="47" t="s">
        <v>14</v>
      </c>
      <c r="G528" s="47">
        <v>4.5999999999999996</v>
      </c>
      <c r="H528" s="48">
        <v>59</v>
      </c>
      <c r="I528" s="47" t="s">
        <v>1295</v>
      </c>
      <c r="J528" s="47" t="s">
        <v>1296</v>
      </c>
      <c r="K528" s="48"/>
      <c r="L528" s="49">
        <f t="shared" si="9"/>
        <v>2.9723458717816693</v>
      </c>
      <c r="M528" s="50"/>
      <c r="N528" s="50"/>
      <c r="O528" s="50"/>
      <c r="P528" s="50"/>
      <c r="Q528" s="50"/>
      <c r="R528" s="51"/>
      <c r="S528" s="44" t="s">
        <v>1510</v>
      </c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5">
      <c r="A529" s="20" t="s">
        <v>10</v>
      </c>
      <c r="B529" s="24" t="s">
        <v>58</v>
      </c>
      <c r="C529" s="25">
        <v>44225.609027777777</v>
      </c>
      <c r="D529" s="26" t="s">
        <v>1297</v>
      </c>
      <c r="E529" s="26" t="s">
        <v>13</v>
      </c>
      <c r="F529" s="26" t="s">
        <v>14</v>
      </c>
      <c r="G529" s="26">
        <v>0.1</v>
      </c>
      <c r="H529" s="27">
        <v>274</v>
      </c>
      <c r="I529" s="26" t="s">
        <v>1298</v>
      </c>
      <c r="J529" s="26" t="s">
        <v>1299</v>
      </c>
      <c r="K529" s="27"/>
      <c r="L529" s="28">
        <f t="shared" si="9"/>
        <v>0.29178625853558743</v>
      </c>
      <c r="M529" s="29"/>
      <c r="N529" s="30" t="s">
        <v>271</v>
      </c>
      <c r="O529" s="30" t="s">
        <v>23</v>
      </c>
      <c r="P529" s="30" t="s">
        <v>1498</v>
      </c>
      <c r="Q529" s="30" t="s">
        <v>1495</v>
      </c>
      <c r="R529" s="31" t="s">
        <v>1499</v>
      </c>
      <c r="S529" s="45">
        <f>(C528 - C529)*24</f>
        <v>1.1833333333488554</v>
      </c>
      <c r="T529" s="6"/>
      <c r="U529" s="6"/>
      <c r="V529" s="6"/>
      <c r="W529" s="6"/>
      <c r="X529" s="6"/>
      <c r="Y529" s="6"/>
      <c r="Z529" s="6"/>
      <c r="AA529" s="6"/>
      <c r="AB529" s="6"/>
    </row>
    <row r="530" spans="1:28" ht="15">
      <c r="A530" s="20" t="s">
        <v>10</v>
      </c>
      <c r="B530" s="32" t="s">
        <v>33</v>
      </c>
      <c r="C530" s="33">
        <v>44225.597222222219</v>
      </c>
      <c r="D530" s="19" t="s">
        <v>1300</v>
      </c>
      <c r="E530" s="19" t="s">
        <v>13</v>
      </c>
      <c r="F530" s="19" t="s">
        <v>14</v>
      </c>
      <c r="G530" s="19">
        <v>10.8</v>
      </c>
      <c r="H530" s="34">
        <v>264</v>
      </c>
      <c r="I530" s="19" t="s">
        <v>1301</v>
      </c>
      <c r="J530" s="19" t="s">
        <v>1302</v>
      </c>
      <c r="K530" s="34"/>
      <c r="L530" s="36">
        <f t="shared" si="9"/>
        <v>4.431607977678115</v>
      </c>
      <c r="M530" s="37"/>
      <c r="N530" s="38" t="s">
        <v>1560</v>
      </c>
      <c r="O530" s="38" t="s">
        <v>1559</v>
      </c>
      <c r="P530" s="39">
        <f>SUM(L529:L534)</f>
        <v>40.015651062320188</v>
      </c>
      <c r="Q530" s="39">
        <f>AVERAGE(G530:G533)</f>
        <v>11.3</v>
      </c>
      <c r="R530" s="46">
        <f>(C529 - C534)*24</f>
        <v>1.9833333333372138</v>
      </c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ht="15">
      <c r="A531" s="20" t="s">
        <v>10</v>
      </c>
      <c r="B531" s="32" t="s">
        <v>33</v>
      </c>
      <c r="C531" s="33">
        <v>44225.570833333331</v>
      </c>
      <c r="D531" s="19" t="s">
        <v>1303</v>
      </c>
      <c r="E531" s="19" t="s">
        <v>13</v>
      </c>
      <c r="F531" s="19" t="s">
        <v>14</v>
      </c>
      <c r="G531" s="19">
        <v>12</v>
      </c>
      <c r="H531" s="34">
        <v>213</v>
      </c>
      <c r="I531" s="19" t="s">
        <v>1304</v>
      </c>
      <c r="J531" s="19" t="s">
        <v>1305</v>
      </c>
      <c r="K531" s="34"/>
      <c r="L531" s="36">
        <f t="shared" si="9"/>
        <v>13.810528452940494</v>
      </c>
      <c r="M531" s="37"/>
      <c r="N531" s="37"/>
      <c r="O531" s="37"/>
      <c r="P531" s="37"/>
      <c r="Q531" s="37"/>
      <c r="R531" s="41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ht="15">
      <c r="A532" s="20" t="s">
        <v>10</v>
      </c>
      <c r="B532" s="32" t="s">
        <v>33</v>
      </c>
      <c r="C532" s="33">
        <v>44225.540972222225</v>
      </c>
      <c r="D532" s="19" t="s">
        <v>1306</v>
      </c>
      <c r="E532" s="19" t="s">
        <v>13</v>
      </c>
      <c r="F532" s="19" t="s">
        <v>14</v>
      </c>
      <c r="G532" s="19">
        <v>10.4</v>
      </c>
      <c r="H532" s="34">
        <v>243</v>
      </c>
      <c r="I532" s="19" t="s">
        <v>1307</v>
      </c>
      <c r="J532" s="19" t="s">
        <v>1308</v>
      </c>
      <c r="K532" s="34"/>
      <c r="L532" s="36">
        <f t="shared" si="9"/>
        <v>15.487380644741167</v>
      </c>
      <c r="M532" s="37"/>
      <c r="N532" s="37"/>
      <c r="O532" s="37"/>
      <c r="P532" s="37"/>
      <c r="Q532" s="37"/>
      <c r="R532" s="41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ht="15">
      <c r="A533" s="20" t="s">
        <v>10</v>
      </c>
      <c r="B533" s="32" t="s">
        <v>33</v>
      </c>
      <c r="C533" s="33">
        <v>44225.533333333333</v>
      </c>
      <c r="D533" s="19" t="s">
        <v>1309</v>
      </c>
      <c r="E533" s="19" t="s">
        <v>13</v>
      </c>
      <c r="F533" s="19" t="s">
        <v>14</v>
      </c>
      <c r="G533" s="19">
        <v>12</v>
      </c>
      <c r="H533" s="34">
        <v>200</v>
      </c>
      <c r="I533" s="19" t="s">
        <v>1310</v>
      </c>
      <c r="J533" s="19" t="s">
        <v>1311</v>
      </c>
      <c r="K533" s="34"/>
      <c r="L533" s="36">
        <f t="shared" si="9"/>
        <v>3.0696281463417687</v>
      </c>
      <c r="M533" s="37"/>
      <c r="N533" s="37"/>
      <c r="O533" s="37"/>
      <c r="P533" s="37"/>
      <c r="Q533" s="37"/>
      <c r="R533" s="41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ht="15.75" thickBot="1">
      <c r="A534" s="20" t="s">
        <v>10</v>
      </c>
      <c r="B534" s="42" t="s">
        <v>49</v>
      </c>
      <c r="C534" s="43">
        <v>44225.526388888888</v>
      </c>
      <c r="D534" s="47" t="s">
        <v>1312</v>
      </c>
      <c r="E534" s="47" t="s">
        <v>13</v>
      </c>
      <c r="F534" s="47" t="s">
        <v>14</v>
      </c>
      <c r="G534" s="47">
        <v>5.3</v>
      </c>
      <c r="H534" s="48">
        <v>109</v>
      </c>
      <c r="I534" s="47" t="s">
        <v>1314</v>
      </c>
      <c r="J534" s="47" t="s">
        <v>1315</v>
      </c>
      <c r="K534" s="48"/>
      <c r="L534" s="49">
        <f t="shared" si="9"/>
        <v>2.9247195820830583</v>
      </c>
      <c r="M534" s="50"/>
      <c r="N534" s="50"/>
      <c r="O534" s="50"/>
      <c r="P534" s="50"/>
      <c r="Q534" s="50"/>
      <c r="R534" s="51"/>
      <c r="S534" s="44" t="s">
        <v>1510</v>
      </c>
      <c r="T534" s="6"/>
      <c r="U534" s="6"/>
      <c r="V534" s="6"/>
      <c r="W534" s="6"/>
      <c r="X534" s="6"/>
      <c r="Y534" s="6"/>
      <c r="Z534" s="6"/>
      <c r="AA534" s="6"/>
      <c r="AB534" s="6"/>
    </row>
    <row r="535" spans="1:28" ht="15">
      <c r="A535" s="20" t="s">
        <v>10</v>
      </c>
      <c r="B535" s="24" t="s">
        <v>58</v>
      </c>
      <c r="C535" s="25">
        <v>44225.503472222219</v>
      </c>
      <c r="D535" s="26" t="s">
        <v>1316</v>
      </c>
      <c r="E535" s="26" t="s">
        <v>13</v>
      </c>
      <c r="F535" s="26" t="s">
        <v>14</v>
      </c>
      <c r="G535" s="26">
        <v>0.1</v>
      </c>
      <c r="H535" s="27">
        <v>239</v>
      </c>
      <c r="I535" s="26" t="s">
        <v>1317</v>
      </c>
      <c r="J535" s="26" t="s">
        <v>1318</v>
      </c>
      <c r="K535" s="27"/>
      <c r="L535" s="28">
        <f t="shared" si="9"/>
        <v>0.18518510728182133</v>
      </c>
      <c r="M535" s="29"/>
      <c r="N535" s="30" t="s">
        <v>271</v>
      </c>
      <c r="O535" s="30" t="s">
        <v>23</v>
      </c>
      <c r="P535" s="30" t="s">
        <v>1498</v>
      </c>
      <c r="Q535" s="30" t="s">
        <v>1495</v>
      </c>
      <c r="R535" s="31" t="s">
        <v>1499</v>
      </c>
      <c r="S535" s="45">
        <f>(C534 - C535)*24</f>
        <v>0.55000000004656613</v>
      </c>
      <c r="T535" s="6"/>
      <c r="U535" s="6"/>
      <c r="V535" s="6"/>
      <c r="W535" s="6"/>
      <c r="X535" s="6"/>
      <c r="Y535" s="6"/>
      <c r="Z535" s="6"/>
      <c r="AA535" s="6"/>
      <c r="AB535" s="6"/>
    </row>
    <row r="536" spans="1:28" ht="15">
      <c r="A536" s="20" t="s">
        <v>10</v>
      </c>
      <c r="B536" s="32" t="s">
        <v>33</v>
      </c>
      <c r="C536" s="33">
        <v>44225.500694444447</v>
      </c>
      <c r="D536" s="19" t="s">
        <v>1319</v>
      </c>
      <c r="E536" s="19" t="s">
        <v>13</v>
      </c>
      <c r="F536" s="19" t="s">
        <v>14</v>
      </c>
      <c r="G536" s="19">
        <v>8.5</v>
      </c>
      <c r="H536" s="34">
        <v>266</v>
      </c>
      <c r="I536" s="19" t="s">
        <v>1320</v>
      </c>
      <c r="J536" s="19" t="s">
        <v>1321</v>
      </c>
      <c r="K536" s="34"/>
      <c r="L536" s="36">
        <f t="shared" si="9"/>
        <v>0.60431958794450524</v>
      </c>
      <c r="M536" s="37"/>
      <c r="N536" s="38" t="s">
        <v>1561</v>
      </c>
      <c r="O536" s="38" t="s">
        <v>1560</v>
      </c>
      <c r="P536" s="39">
        <f>SUM(L535:L538)</f>
        <v>10.564180237773829</v>
      </c>
      <c r="Q536" s="39">
        <f>AVERAGE(G536:G537)</f>
        <v>10.25</v>
      </c>
      <c r="R536" s="46">
        <f>(C535 - C538)*24</f>
        <v>0.56666666659293696</v>
      </c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ht="15">
      <c r="A537" s="20" t="s">
        <v>10</v>
      </c>
      <c r="B537" s="32" t="s">
        <v>33</v>
      </c>
      <c r="C537" s="33">
        <v>44225.493055555555</v>
      </c>
      <c r="D537" s="19" t="s">
        <v>1322</v>
      </c>
      <c r="E537" s="19" t="s">
        <v>13</v>
      </c>
      <c r="F537" s="19" t="s">
        <v>14</v>
      </c>
      <c r="G537" s="19">
        <v>12</v>
      </c>
      <c r="H537" s="34">
        <v>339</v>
      </c>
      <c r="I537" s="19" t="s">
        <v>1323</v>
      </c>
      <c r="J537" s="19" t="s">
        <v>1324</v>
      </c>
      <c r="K537" s="34"/>
      <c r="L537" s="36">
        <f t="shared" si="9"/>
        <v>3.4836991142353213</v>
      </c>
      <c r="M537" s="37"/>
      <c r="N537" s="37"/>
      <c r="O537" s="37"/>
      <c r="P537" s="37"/>
      <c r="Q537" s="37"/>
      <c r="R537" s="41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ht="15.75" thickBot="1">
      <c r="A538" s="20" t="s">
        <v>10</v>
      </c>
      <c r="B538" s="42" t="s">
        <v>49</v>
      </c>
      <c r="C538" s="43">
        <v>44225.479861111111</v>
      </c>
      <c r="D538" s="47" t="s">
        <v>1325</v>
      </c>
      <c r="E538" s="47" t="s">
        <v>13</v>
      </c>
      <c r="F538" s="47" t="s">
        <v>14</v>
      </c>
      <c r="G538" s="47">
        <v>4</v>
      </c>
      <c r="H538" s="48">
        <v>9</v>
      </c>
      <c r="I538" s="47" t="s">
        <v>1326</v>
      </c>
      <c r="J538" s="47" t="s">
        <v>1327</v>
      </c>
      <c r="K538" s="48"/>
      <c r="L538" s="49">
        <f t="shared" si="9"/>
        <v>6.290976428312181</v>
      </c>
      <c r="M538" s="50"/>
      <c r="N538" s="50"/>
      <c r="O538" s="50"/>
      <c r="P538" s="50"/>
      <c r="Q538" s="50"/>
      <c r="R538" s="51"/>
      <c r="S538" s="44" t="s">
        <v>1510</v>
      </c>
      <c r="T538" s="6"/>
      <c r="U538" s="6"/>
      <c r="V538" s="6"/>
      <c r="W538" s="6"/>
      <c r="X538" s="6"/>
      <c r="Y538" s="6"/>
      <c r="Z538" s="6"/>
      <c r="AA538" s="6"/>
      <c r="AB538" s="6"/>
    </row>
    <row r="539" spans="1:28" ht="15">
      <c r="A539" s="20" t="s">
        <v>10</v>
      </c>
      <c r="B539" s="24" t="s">
        <v>155</v>
      </c>
      <c r="C539" s="25">
        <v>44225.474999999999</v>
      </c>
      <c r="D539" s="26" t="s">
        <v>1328</v>
      </c>
      <c r="E539" s="26" t="s">
        <v>13</v>
      </c>
      <c r="F539" s="26" t="s">
        <v>14</v>
      </c>
      <c r="G539" s="26">
        <v>0</v>
      </c>
      <c r="H539" s="27">
        <v>238</v>
      </c>
      <c r="I539" s="26" t="s">
        <v>1329</v>
      </c>
      <c r="J539" s="26" t="s">
        <v>1330</v>
      </c>
      <c r="K539" s="27"/>
      <c r="L539" s="28">
        <f t="shared" si="9"/>
        <v>0.14337118734548221</v>
      </c>
      <c r="M539" s="29"/>
      <c r="N539" s="30" t="s">
        <v>271</v>
      </c>
      <c r="O539" s="30" t="s">
        <v>23</v>
      </c>
      <c r="P539" s="30" t="s">
        <v>1498</v>
      </c>
      <c r="Q539" s="30" t="s">
        <v>1495</v>
      </c>
      <c r="R539" s="31" t="s">
        <v>1499</v>
      </c>
      <c r="S539" s="45">
        <f>(C538 - C542)*24</f>
        <v>1.3333333333139308</v>
      </c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5">
      <c r="A540" s="20" t="s">
        <v>10</v>
      </c>
      <c r="B540" s="32" t="s">
        <v>11</v>
      </c>
      <c r="C540" s="33">
        <v>44225.46597222222</v>
      </c>
      <c r="D540" s="19" t="s">
        <v>1331</v>
      </c>
      <c r="E540" s="19" t="s">
        <v>13</v>
      </c>
      <c r="F540" s="19" t="s">
        <v>14</v>
      </c>
      <c r="G540" s="19">
        <v>0</v>
      </c>
      <c r="H540" s="34">
        <v>262</v>
      </c>
      <c r="I540" s="19" t="s">
        <v>1332</v>
      </c>
      <c r="J540" s="19" t="s">
        <v>1333</v>
      </c>
      <c r="K540" s="34"/>
      <c r="L540" s="36">
        <f t="shared" si="9"/>
        <v>1.416080444235821E-3</v>
      </c>
      <c r="M540" s="37"/>
      <c r="N540" s="38" t="s">
        <v>1562</v>
      </c>
      <c r="O540" s="38" t="s">
        <v>1561</v>
      </c>
      <c r="P540" s="39">
        <f>SUM(L539:L545)</f>
        <v>23.997231517165027</v>
      </c>
      <c r="Q540" s="39">
        <f>AVERAGE(G543:G544)</f>
        <v>10.899999999999999</v>
      </c>
      <c r="R540" s="46">
        <f>(C539 - C545)*24</f>
        <v>2.3666666666977108</v>
      </c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ht="15">
      <c r="A541" s="20" t="s">
        <v>10</v>
      </c>
      <c r="B541" s="32" t="s">
        <v>159</v>
      </c>
      <c r="C541" s="33">
        <v>44225.450694444444</v>
      </c>
      <c r="D541" s="19" t="s">
        <v>1334</v>
      </c>
      <c r="E541" s="19" t="s">
        <v>13</v>
      </c>
      <c r="F541" s="19" t="s">
        <v>14</v>
      </c>
      <c r="G541" s="19">
        <v>0</v>
      </c>
      <c r="H541" s="34">
        <v>240</v>
      </c>
      <c r="I541" s="19" t="s">
        <v>1335</v>
      </c>
      <c r="J541" s="19" t="s">
        <v>1333</v>
      </c>
      <c r="K541" s="34"/>
      <c r="L541" s="36">
        <f t="shared" si="9"/>
        <v>2.2248550284201629E-3</v>
      </c>
      <c r="M541" s="37"/>
      <c r="N541" s="37"/>
      <c r="O541" s="37"/>
      <c r="P541" s="37"/>
      <c r="Q541" s="37"/>
      <c r="R541" s="41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ht="15">
      <c r="A542" s="20" t="s">
        <v>10</v>
      </c>
      <c r="B542" s="32" t="s">
        <v>58</v>
      </c>
      <c r="C542" s="33">
        <v>44225.424305555556</v>
      </c>
      <c r="D542" s="19" t="s">
        <v>1336</v>
      </c>
      <c r="E542" s="19" t="s">
        <v>13</v>
      </c>
      <c r="F542" s="19" t="s">
        <v>14</v>
      </c>
      <c r="G542" s="19">
        <v>0.9</v>
      </c>
      <c r="H542" s="34">
        <v>221</v>
      </c>
      <c r="I542" s="19" t="s">
        <v>1337</v>
      </c>
      <c r="J542" s="19" t="s">
        <v>1338</v>
      </c>
      <c r="K542" s="34"/>
      <c r="L542" s="36">
        <f t="shared" si="9"/>
        <v>2.4494987371098207E-2</v>
      </c>
      <c r="M542" s="37"/>
      <c r="N542" s="37"/>
      <c r="O542" s="37"/>
      <c r="P542" s="37"/>
      <c r="Q542" s="37"/>
      <c r="R542" s="41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ht="15">
      <c r="A543" s="20" t="s">
        <v>10</v>
      </c>
      <c r="B543" s="32" t="s">
        <v>33</v>
      </c>
      <c r="C543" s="33">
        <v>44225.42083333333</v>
      </c>
      <c r="D543" s="19" t="s">
        <v>778</v>
      </c>
      <c r="E543" s="19" t="s">
        <v>13</v>
      </c>
      <c r="F543" s="19" t="s">
        <v>14</v>
      </c>
      <c r="G543" s="19">
        <v>9.6999999999999993</v>
      </c>
      <c r="H543" s="34">
        <v>102</v>
      </c>
      <c r="I543" s="19" t="s">
        <v>1339</v>
      </c>
      <c r="J543" s="19" t="s">
        <v>1340</v>
      </c>
      <c r="K543" s="34"/>
      <c r="L543" s="36">
        <f t="shared" si="9"/>
        <v>0.78477649750918921</v>
      </c>
      <c r="M543" s="37"/>
      <c r="N543" s="37"/>
      <c r="O543" s="37"/>
      <c r="P543" s="37"/>
      <c r="Q543" s="37"/>
      <c r="R543" s="41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ht="15">
      <c r="A544" s="20" t="s">
        <v>10</v>
      </c>
      <c r="B544" s="32" t="s">
        <v>33</v>
      </c>
      <c r="C544" s="33">
        <v>44225.384027777778</v>
      </c>
      <c r="D544" s="19" t="s">
        <v>1341</v>
      </c>
      <c r="E544" s="19" t="s">
        <v>13</v>
      </c>
      <c r="F544" s="19" t="s">
        <v>14</v>
      </c>
      <c r="G544" s="19">
        <v>12.1</v>
      </c>
      <c r="H544" s="34">
        <v>72</v>
      </c>
      <c r="I544" s="19" t="s">
        <v>1342</v>
      </c>
      <c r="J544" s="19" t="s">
        <v>1343</v>
      </c>
      <c r="K544" s="34"/>
      <c r="L544" s="36">
        <f t="shared" si="9"/>
        <v>19.398228612807049</v>
      </c>
      <c r="M544" s="37"/>
      <c r="N544" s="37"/>
      <c r="O544" s="37"/>
      <c r="P544" s="37"/>
      <c r="Q544" s="37"/>
      <c r="R544" s="41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ht="15.75" thickBot="1">
      <c r="A545" s="20" t="s">
        <v>10</v>
      </c>
      <c r="B545" s="42" t="s">
        <v>49</v>
      </c>
      <c r="C545" s="43">
        <v>44225.376388888886</v>
      </c>
      <c r="D545" s="47" t="s">
        <v>1344</v>
      </c>
      <c r="E545" s="47" t="s">
        <v>13</v>
      </c>
      <c r="F545" s="47" t="s">
        <v>14</v>
      </c>
      <c r="G545" s="47">
        <v>5.8</v>
      </c>
      <c r="H545" s="48">
        <v>3</v>
      </c>
      <c r="I545" s="47" t="s">
        <v>1345</v>
      </c>
      <c r="J545" s="47" t="s">
        <v>1346</v>
      </c>
      <c r="K545" s="48"/>
      <c r="L545" s="49">
        <f t="shared" si="9"/>
        <v>3.6427192966595552</v>
      </c>
      <c r="M545" s="50"/>
      <c r="N545" s="50"/>
      <c r="O545" s="50"/>
      <c r="P545" s="50"/>
      <c r="Q545" s="50"/>
      <c r="R545" s="51"/>
      <c r="S545" s="44" t="s">
        <v>1510</v>
      </c>
      <c r="T545" s="6"/>
      <c r="U545" s="6"/>
      <c r="V545" s="6"/>
      <c r="W545" s="6"/>
      <c r="X545" s="6"/>
      <c r="Y545" s="6"/>
      <c r="Z545" s="6"/>
      <c r="AA545" s="6"/>
      <c r="AB545" s="6"/>
    </row>
    <row r="546" spans="1:28" ht="15">
      <c r="A546" s="20" t="s">
        <v>10</v>
      </c>
      <c r="B546" s="24" t="s">
        <v>155</v>
      </c>
      <c r="C546" s="25">
        <v>44225.364583333336</v>
      </c>
      <c r="D546" s="26" t="s">
        <v>1347</v>
      </c>
      <c r="E546" s="26" t="s">
        <v>13</v>
      </c>
      <c r="F546" s="26" t="s">
        <v>14</v>
      </c>
      <c r="G546" s="26">
        <v>0</v>
      </c>
      <c r="H546" s="27">
        <v>281</v>
      </c>
      <c r="I546" s="26" t="s">
        <v>1348</v>
      </c>
      <c r="J546" s="26" t="s">
        <v>1349</v>
      </c>
      <c r="K546" s="27"/>
      <c r="L546" s="28">
        <f t="shared" si="9"/>
        <v>0.35384104028769336</v>
      </c>
      <c r="M546" s="29"/>
      <c r="N546" s="30" t="s">
        <v>271</v>
      </c>
      <c r="O546" s="30" t="s">
        <v>23</v>
      </c>
      <c r="P546" s="30" t="s">
        <v>1498</v>
      </c>
      <c r="Q546" s="30" t="s">
        <v>1495</v>
      </c>
      <c r="R546" s="31" t="s">
        <v>1499</v>
      </c>
      <c r="S546" s="45">
        <f>(C545 - C548)*24</f>
        <v>1.5666666665347293</v>
      </c>
      <c r="T546" s="6"/>
      <c r="U546" s="6"/>
      <c r="V546" s="6"/>
      <c r="W546" s="6"/>
      <c r="X546" s="6"/>
      <c r="Y546" s="6"/>
      <c r="Z546" s="6"/>
      <c r="AA546" s="6"/>
      <c r="AB546" s="6"/>
    </row>
    <row r="547" spans="1:28" ht="15">
      <c r="A547" s="20" t="s">
        <v>10</v>
      </c>
      <c r="B547" s="32" t="s">
        <v>159</v>
      </c>
      <c r="C547" s="33">
        <v>44225.320833333331</v>
      </c>
      <c r="D547" s="19" t="s">
        <v>1350</v>
      </c>
      <c r="E547" s="19" t="s">
        <v>13</v>
      </c>
      <c r="F547" s="19" t="s">
        <v>14</v>
      </c>
      <c r="G547" s="19">
        <v>0</v>
      </c>
      <c r="H547" s="34">
        <v>93</v>
      </c>
      <c r="I547" s="19" t="s">
        <v>1351</v>
      </c>
      <c r="J547" s="19" t="s">
        <v>1352</v>
      </c>
      <c r="K547" s="34"/>
      <c r="L547" s="36">
        <f t="shared" si="9"/>
        <v>1.5558317493226594E-2</v>
      </c>
      <c r="M547" s="37"/>
      <c r="N547" s="38" t="s">
        <v>1565</v>
      </c>
      <c r="O547" s="38" t="s">
        <v>1562</v>
      </c>
      <c r="P547" s="39">
        <f>SUM(L546:L551)</f>
        <v>20.161648060706099</v>
      </c>
      <c r="Q547" s="39">
        <f>AVERAGE(G549:G551)</f>
        <v>8.0333333333333332</v>
      </c>
      <c r="R547" s="46">
        <f>(C546 - C551)*24</f>
        <v>2.3499999999767169</v>
      </c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ht="15">
      <c r="A548" s="20" t="s">
        <v>10</v>
      </c>
      <c r="B548" s="32" t="s">
        <v>58</v>
      </c>
      <c r="C548" s="33">
        <v>44225.311111111114</v>
      </c>
      <c r="D548" s="19" t="s">
        <v>1353</v>
      </c>
      <c r="E548" s="19" t="s">
        <v>13</v>
      </c>
      <c r="F548" s="19" t="s">
        <v>14</v>
      </c>
      <c r="G548" s="19">
        <v>0.5</v>
      </c>
      <c r="H548" s="34">
        <v>254</v>
      </c>
      <c r="I548" s="19" t="s">
        <v>1354</v>
      </c>
      <c r="J548" s="19" t="s">
        <v>1355</v>
      </c>
      <c r="K548" s="34"/>
      <c r="L548" s="36">
        <f t="shared" si="9"/>
        <v>1.7008639182950917E-2</v>
      </c>
      <c r="M548" s="37"/>
      <c r="N548" s="37"/>
      <c r="O548" s="37"/>
      <c r="P548" s="37"/>
      <c r="Q548" s="37"/>
      <c r="R548" s="41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ht="15">
      <c r="A549" s="20" t="s">
        <v>10</v>
      </c>
      <c r="B549" s="32" t="s">
        <v>33</v>
      </c>
      <c r="C549" s="33">
        <v>44225.304166666669</v>
      </c>
      <c r="D549" s="19" t="s">
        <v>916</v>
      </c>
      <c r="E549" s="19" t="s">
        <v>13</v>
      </c>
      <c r="F549" s="19" t="s">
        <v>14</v>
      </c>
      <c r="G549" s="19">
        <v>8.6</v>
      </c>
      <c r="H549" s="34">
        <v>255</v>
      </c>
      <c r="I549" s="19" t="s">
        <v>1356</v>
      </c>
      <c r="J549" s="19" t="s">
        <v>1357</v>
      </c>
      <c r="K549" s="34"/>
      <c r="L549" s="36">
        <f t="shared" si="9"/>
        <v>1.723552755309719</v>
      </c>
      <c r="M549" s="37"/>
      <c r="N549" s="37"/>
      <c r="O549" s="37"/>
      <c r="P549" s="37"/>
      <c r="Q549" s="37"/>
      <c r="R549" s="41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ht="15">
      <c r="A550" s="20" t="s">
        <v>10</v>
      </c>
      <c r="B550" s="32" t="s">
        <v>33</v>
      </c>
      <c r="C550" s="33">
        <v>44225.296527777777</v>
      </c>
      <c r="D550" s="19" t="s">
        <v>1358</v>
      </c>
      <c r="E550" s="19" t="s">
        <v>13</v>
      </c>
      <c r="F550" s="19" t="s">
        <v>14</v>
      </c>
      <c r="G550" s="19">
        <v>11.1</v>
      </c>
      <c r="H550" s="34">
        <v>340</v>
      </c>
      <c r="I550" s="19" t="s">
        <v>1359</v>
      </c>
      <c r="J550" s="19" t="s">
        <v>1360</v>
      </c>
      <c r="K550" s="34"/>
      <c r="L550" s="36">
        <f t="shared" si="9"/>
        <v>3.3701341437102448</v>
      </c>
      <c r="M550" s="37"/>
      <c r="N550" s="37"/>
      <c r="O550" s="37"/>
      <c r="P550" s="37"/>
      <c r="Q550" s="37"/>
      <c r="R550" s="41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5.75" thickBot="1">
      <c r="A551" s="20" t="s">
        <v>10</v>
      </c>
      <c r="B551" s="42" t="s">
        <v>49</v>
      </c>
      <c r="C551" s="43">
        <v>44225.26666666667</v>
      </c>
      <c r="D551" s="47" t="s">
        <v>1361</v>
      </c>
      <c r="E551" s="47" t="s">
        <v>13</v>
      </c>
      <c r="F551" s="47" t="s">
        <v>14</v>
      </c>
      <c r="G551" s="47">
        <v>4.4000000000000004</v>
      </c>
      <c r="H551" s="48">
        <v>295</v>
      </c>
      <c r="I551" s="47" t="s">
        <v>1362</v>
      </c>
      <c r="J551" s="47" t="s">
        <v>1363</v>
      </c>
      <c r="K551" s="48"/>
      <c r="L551" s="49">
        <f t="shared" si="9"/>
        <v>14.681553164722267</v>
      </c>
      <c r="M551" s="50"/>
      <c r="N551" s="50"/>
      <c r="O551" s="50"/>
      <c r="P551" s="50"/>
      <c r="Q551" s="50"/>
      <c r="R551" s="51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ht="15">
      <c r="A552" s="20" t="s">
        <v>10</v>
      </c>
      <c r="B552" s="24" t="s">
        <v>58</v>
      </c>
      <c r="C552" s="25">
        <v>44225.23541666667</v>
      </c>
      <c r="D552" s="26" t="s">
        <v>1364</v>
      </c>
      <c r="E552" s="26" t="s">
        <v>13</v>
      </c>
      <c r="F552" s="26" t="s">
        <v>14</v>
      </c>
      <c r="G552" s="26" t="s">
        <v>96</v>
      </c>
      <c r="H552" s="27">
        <v>76</v>
      </c>
      <c r="I552" s="26" t="s">
        <v>1365</v>
      </c>
      <c r="J552" s="26" t="s">
        <v>1366</v>
      </c>
      <c r="K552" s="27"/>
      <c r="L552" s="56">
        <f t="shared" si="9"/>
        <v>0.31939176679430775</v>
      </c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ht="15">
      <c r="A553" s="20" t="s">
        <v>10</v>
      </c>
      <c r="B553" s="32" t="s">
        <v>271</v>
      </c>
      <c r="C553" s="33">
        <v>44225.212500000001</v>
      </c>
      <c r="D553" s="19" t="s">
        <v>1367</v>
      </c>
      <c r="E553" s="19" t="s">
        <v>13</v>
      </c>
      <c r="F553" s="19" t="s">
        <v>14</v>
      </c>
      <c r="G553" s="19" t="s">
        <v>25</v>
      </c>
      <c r="H553" s="34"/>
      <c r="I553" s="72">
        <v>66.744960000000006</v>
      </c>
      <c r="J553" s="72">
        <v>13.49962</v>
      </c>
      <c r="K553" s="34"/>
      <c r="L553" s="57">
        <f t="shared" si="9"/>
        <v>4.2900151591440849</v>
      </c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ht="15">
      <c r="A554" s="20" t="s">
        <v>10</v>
      </c>
      <c r="B554" s="32" t="s">
        <v>21</v>
      </c>
      <c r="C554" s="33">
        <v>44225.210416666669</v>
      </c>
      <c r="D554" s="19" t="s">
        <v>273</v>
      </c>
      <c r="E554" s="19" t="s">
        <v>13</v>
      </c>
      <c r="F554" s="19" t="s">
        <v>14</v>
      </c>
      <c r="G554" s="19" t="s">
        <v>747</v>
      </c>
      <c r="H554" s="34">
        <v>283</v>
      </c>
      <c r="I554" s="19" t="s">
        <v>1368</v>
      </c>
      <c r="J554" s="19" t="s">
        <v>1369</v>
      </c>
      <c r="K554" s="34"/>
      <c r="L554" s="57">
        <f t="shared" si="9"/>
        <v>0.29129246445867468</v>
      </c>
      <c r="M554" s="6" t="s">
        <v>1563</v>
      </c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ht="15">
      <c r="A555" s="20" t="s">
        <v>10</v>
      </c>
      <c r="B555" s="32" t="s">
        <v>28</v>
      </c>
      <c r="C555" s="33">
        <v>44224.966666666667</v>
      </c>
      <c r="D555" s="19" t="s">
        <v>1370</v>
      </c>
      <c r="E555" s="19" t="s">
        <v>13</v>
      </c>
      <c r="F555" s="19" t="s">
        <v>14</v>
      </c>
      <c r="G555" s="19" t="s">
        <v>15</v>
      </c>
      <c r="H555" s="34">
        <v>264</v>
      </c>
      <c r="I555" s="19" t="s">
        <v>1371</v>
      </c>
      <c r="J555" s="19" t="s">
        <v>1372</v>
      </c>
      <c r="K555" s="34"/>
      <c r="L555" s="57">
        <f t="shared" si="9"/>
        <v>0.29129246445867468</v>
      </c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ht="15">
      <c r="A556" s="20" t="s">
        <v>10</v>
      </c>
      <c r="B556" s="32" t="s">
        <v>21</v>
      </c>
      <c r="C556" s="33">
        <v>44224.550694444442</v>
      </c>
      <c r="D556" s="19" t="s">
        <v>22</v>
      </c>
      <c r="E556" s="19" t="s">
        <v>13</v>
      </c>
      <c r="F556" s="19" t="s">
        <v>14</v>
      </c>
      <c r="G556" s="19" t="s">
        <v>15</v>
      </c>
      <c r="H556" s="34">
        <v>74</v>
      </c>
      <c r="I556" s="19" t="s">
        <v>1373</v>
      </c>
      <c r="J556" s="19" t="s">
        <v>1374</v>
      </c>
      <c r="K556" s="34"/>
      <c r="L556" s="57">
        <f t="shared" si="9"/>
        <v>0.133402765335109</v>
      </c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ht="15.75" thickBot="1">
      <c r="A557" s="20" t="s">
        <v>10</v>
      </c>
      <c r="B557" s="42" t="s">
        <v>11</v>
      </c>
      <c r="C557" s="43">
        <v>44224.467361111114</v>
      </c>
      <c r="D557" s="47" t="s">
        <v>1375</v>
      </c>
      <c r="E557" s="47" t="s">
        <v>13</v>
      </c>
      <c r="F557" s="47" t="s">
        <v>14</v>
      </c>
      <c r="G557" s="47" t="s">
        <v>96</v>
      </c>
      <c r="H557" s="48">
        <v>236</v>
      </c>
      <c r="I557" s="47" t="s">
        <v>1376</v>
      </c>
      <c r="J557" s="47" t="s">
        <v>1377</v>
      </c>
      <c r="K557" s="48"/>
      <c r="L557" s="60">
        <f t="shared" si="9"/>
        <v>1.7265072573636848E-3</v>
      </c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ht="15">
      <c r="A558" s="20" t="s">
        <v>10</v>
      </c>
      <c r="B558" s="24" t="s">
        <v>23</v>
      </c>
      <c r="C558" s="25">
        <v>44224.463194444441</v>
      </c>
      <c r="D558" s="26" t="s">
        <v>1367</v>
      </c>
      <c r="E558" s="26" t="s">
        <v>13</v>
      </c>
      <c r="F558" s="26" t="s">
        <v>14</v>
      </c>
      <c r="G558" s="26" t="s">
        <v>25</v>
      </c>
      <c r="H558" s="27"/>
      <c r="I558" s="61">
        <v>66.744960000000006</v>
      </c>
      <c r="J558" s="61">
        <v>13.49962</v>
      </c>
      <c r="K558" s="27"/>
      <c r="L558" s="28">
        <f t="shared" si="9"/>
        <v>0.13290908640559904</v>
      </c>
      <c r="M558" s="29"/>
      <c r="N558" s="29"/>
      <c r="O558" s="29"/>
      <c r="P558" s="29"/>
      <c r="Q558" s="29"/>
      <c r="R558" s="85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ht="15">
      <c r="A559" s="20" t="s">
        <v>10</v>
      </c>
      <c r="B559" s="32" t="s">
        <v>33</v>
      </c>
      <c r="C559" s="33">
        <v>44224.338888888888</v>
      </c>
      <c r="D559" s="19" t="s">
        <v>1378</v>
      </c>
      <c r="E559" s="19" t="s">
        <v>13</v>
      </c>
      <c r="F559" s="19" t="s">
        <v>14</v>
      </c>
      <c r="G559" s="19" t="s">
        <v>63</v>
      </c>
      <c r="H559" s="34">
        <v>221</v>
      </c>
      <c r="I559" s="19" t="s">
        <v>1379</v>
      </c>
      <c r="J559" s="19" t="s">
        <v>1380</v>
      </c>
      <c r="K559" s="34"/>
      <c r="L559" s="36">
        <f t="shared" si="9"/>
        <v>40.005747875113236</v>
      </c>
      <c r="M559" s="37"/>
      <c r="N559" s="37"/>
      <c r="O559" s="37"/>
      <c r="P559" s="37"/>
      <c r="Q559" s="37"/>
      <c r="R559" s="41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ht="15">
      <c r="A560" s="20" t="s">
        <v>10</v>
      </c>
      <c r="B560" s="32" t="s">
        <v>33</v>
      </c>
      <c r="C560" s="33">
        <v>44224.331944444442</v>
      </c>
      <c r="D560" s="19" t="s">
        <v>1381</v>
      </c>
      <c r="E560" s="19" t="s">
        <v>13</v>
      </c>
      <c r="F560" s="19" t="s">
        <v>14</v>
      </c>
      <c r="G560" s="19" t="s">
        <v>184</v>
      </c>
      <c r="H560" s="34">
        <v>263</v>
      </c>
      <c r="I560" s="19" t="s">
        <v>1382</v>
      </c>
      <c r="J560" s="19" t="s">
        <v>1383</v>
      </c>
      <c r="K560" s="34"/>
      <c r="L560" s="36">
        <f t="shared" si="9"/>
        <v>3.2949138404196536</v>
      </c>
      <c r="M560" s="37"/>
      <c r="N560" s="37"/>
      <c r="O560" s="37"/>
      <c r="P560" s="37"/>
      <c r="Q560" s="37"/>
      <c r="R560" s="41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ht="15">
      <c r="A561" s="20" t="s">
        <v>10</v>
      </c>
      <c r="B561" s="32" t="s">
        <v>33</v>
      </c>
      <c r="C561" s="33">
        <v>44224.324999999997</v>
      </c>
      <c r="D561" s="19" t="s">
        <v>1384</v>
      </c>
      <c r="E561" s="19" t="s">
        <v>13</v>
      </c>
      <c r="F561" s="19" t="s">
        <v>14</v>
      </c>
      <c r="G561" s="19" t="s">
        <v>100</v>
      </c>
      <c r="H561" s="34">
        <v>300</v>
      </c>
      <c r="I561" s="19" t="s">
        <v>1385</v>
      </c>
      <c r="J561" s="19" t="s">
        <v>1386</v>
      </c>
      <c r="K561" s="34"/>
      <c r="L561" s="36">
        <f t="shared" si="9"/>
        <v>3.7687690862506837</v>
      </c>
      <c r="M561" s="37"/>
      <c r="N561" s="37"/>
      <c r="O561" s="37"/>
      <c r="P561" s="37"/>
      <c r="Q561" s="37"/>
      <c r="R561" s="41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5">
      <c r="A562" s="20" t="s">
        <v>10</v>
      </c>
      <c r="B562" s="32" t="s">
        <v>33</v>
      </c>
      <c r="C562" s="33">
        <v>44224.316666666666</v>
      </c>
      <c r="D562" s="19" t="s">
        <v>363</v>
      </c>
      <c r="E562" s="19" t="s">
        <v>13</v>
      </c>
      <c r="F562" s="19" t="s">
        <v>14</v>
      </c>
      <c r="G562" s="19" t="s">
        <v>168</v>
      </c>
      <c r="H562" s="34">
        <v>333</v>
      </c>
      <c r="I562" s="19" t="s">
        <v>1387</v>
      </c>
      <c r="J562" s="19" t="s">
        <v>1388</v>
      </c>
      <c r="K562" s="34"/>
      <c r="L562" s="36">
        <f t="shared" si="9"/>
        <v>4.2809755885684719</v>
      </c>
      <c r="M562" s="37"/>
      <c r="N562" s="37"/>
      <c r="O562" s="37"/>
      <c r="P562" s="37"/>
      <c r="Q562" s="37"/>
      <c r="R562" s="41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ht="15.75" thickBot="1">
      <c r="A563" s="20" t="s">
        <v>10</v>
      </c>
      <c r="B563" s="42" t="s">
        <v>49</v>
      </c>
      <c r="C563" s="43">
        <v>44224.30972222222</v>
      </c>
      <c r="D563" s="47" t="s">
        <v>1389</v>
      </c>
      <c r="E563" s="47" t="s">
        <v>13</v>
      </c>
      <c r="F563" s="47" t="s">
        <v>14</v>
      </c>
      <c r="G563" s="47" t="s">
        <v>805</v>
      </c>
      <c r="H563" s="48">
        <v>47</v>
      </c>
      <c r="I563" s="47" t="s">
        <v>1390</v>
      </c>
      <c r="J563" s="47" t="s">
        <v>1391</v>
      </c>
      <c r="K563" s="48"/>
      <c r="L563" s="49">
        <f t="shared" si="9"/>
        <v>3.3648077156294245</v>
      </c>
      <c r="M563" s="50"/>
      <c r="N563" s="50"/>
      <c r="O563" s="50"/>
      <c r="P563" s="50"/>
      <c r="Q563" s="50"/>
      <c r="R563" s="51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ht="15">
      <c r="A564" s="20" t="s">
        <v>10</v>
      </c>
      <c r="B564" s="24" t="s">
        <v>58</v>
      </c>
      <c r="C564" s="25">
        <v>44224.279166666667</v>
      </c>
      <c r="D564" s="26" t="s">
        <v>1392</v>
      </c>
      <c r="E564" s="26" t="s">
        <v>13</v>
      </c>
      <c r="F564" s="26" t="s">
        <v>14</v>
      </c>
      <c r="G564" s="26" t="s">
        <v>96</v>
      </c>
      <c r="H564" s="27">
        <v>314</v>
      </c>
      <c r="I564" s="26" t="s">
        <v>1393</v>
      </c>
      <c r="J564" s="26" t="s">
        <v>1394</v>
      </c>
      <c r="K564" s="27"/>
      <c r="L564" s="28">
        <f t="shared" si="9"/>
        <v>0.33047915804202227</v>
      </c>
      <c r="M564" s="29"/>
      <c r="N564" s="29"/>
      <c r="O564" s="29"/>
      <c r="P564" s="29"/>
      <c r="Q564" s="29"/>
      <c r="R564" s="85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ht="15">
      <c r="A565" s="20" t="s">
        <v>10</v>
      </c>
      <c r="B565" s="32" t="s">
        <v>28</v>
      </c>
      <c r="C565" s="33">
        <v>44223.968055555553</v>
      </c>
      <c r="D565" s="19" t="s">
        <v>1395</v>
      </c>
      <c r="E565" s="19" t="s">
        <v>13</v>
      </c>
      <c r="F565" s="19" t="s">
        <v>14</v>
      </c>
      <c r="G565" s="19" t="s">
        <v>187</v>
      </c>
      <c r="H565" s="34">
        <v>229</v>
      </c>
      <c r="I565" s="19" t="s">
        <v>1396</v>
      </c>
      <c r="J565" s="19" t="s">
        <v>1397</v>
      </c>
      <c r="K565" s="34"/>
      <c r="L565" s="36">
        <f t="shared" si="9"/>
        <v>137.37310536606631</v>
      </c>
      <c r="M565" s="37"/>
      <c r="N565" s="37"/>
      <c r="O565" s="37"/>
      <c r="P565" s="37"/>
      <c r="Q565" s="37"/>
      <c r="R565" s="41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ht="15.75" thickBot="1">
      <c r="A566" s="20" t="s">
        <v>10</v>
      </c>
      <c r="B566" s="42" t="s">
        <v>49</v>
      </c>
      <c r="C566" s="43">
        <v>44223.725694444445</v>
      </c>
      <c r="D566" s="47" t="s">
        <v>1398</v>
      </c>
      <c r="E566" s="47" t="s">
        <v>13</v>
      </c>
      <c r="F566" s="47" t="s">
        <v>14</v>
      </c>
      <c r="G566" s="47" t="s">
        <v>191</v>
      </c>
      <c r="H566" s="48">
        <v>326</v>
      </c>
      <c r="I566" s="47" t="s">
        <v>1399</v>
      </c>
      <c r="J566" s="47" t="s">
        <v>1400</v>
      </c>
      <c r="K566" s="48"/>
      <c r="L566" s="49">
        <f t="shared" si="9"/>
        <v>100.58178837479387</v>
      </c>
      <c r="M566" s="50"/>
      <c r="N566" s="50"/>
      <c r="O566" s="50"/>
      <c r="P566" s="50"/>
      <c r="Q566" s="50"/>
      <c r="R566" s="51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ht="15">
      <c r="A567" s="20" t="s">
        <v>10</v>
      </c>
      <c r="B567" s="24" t="s">
        <v>58</v>
      </c>
      <c r="C567" s="25">
        <v>44223.706944444442</v>
      </c>
      <c r="D567" s="26" t="s">
        <v>1401</v>
      </c>
      <c r="E567" s="26" t="s">
        <v>13</v>
      </c>
      <c r="F567" s="26" t="s">
        <v>14</v>
      </c>
      <c r="G567" s="26" t="s">
        <v>15</v>
      </c>
      <c r="H567" s="27">
        <v>140</v>
      </c>
      <c r="I567" s="26" t="s">
        <v>1402</v>
      </c>
      <c r="J567" s="26" t="s">
        <v>1403</v>
      </c>
      <c r="K567" s="27"/>
      <c r="L567" s="28">
        <f t="shared" si="9"/>
        <v>0.56950588663592605</v>
      </c>
      <c r="M567" s="29"/>
      <c r="N567" s="29"/>
      <c r="O567" s="29"/>
      <c r="P567" s="29"/>
      <c r="Q567" s="29"/>
      <c r="R567" s="85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ht="15">
      <c r="A568" s="20" t="s">
        <v>10</v>
      </c>
      <c r="B568" s="32" t="s">
        <v>33</v>
      </c>
      <c r="C568" s="33">
        <v>44223.695833333331</v>
      </c>
      <c r="D568" s="19" t="s">
        <v>1404</v>
      </c>
      <c r="E568" s="19" t="s">
        <v>13</v>
      </c>
      <c r="F568" s="19" t="s">
        <v>14</v>
      </c>
      <c r="G568" s="19" t="s">
        <v>184</v>
      </c>
      <c r="H568" s="34">
        <v>104</v>
      </c>
      <c r="I568" s="19" t="s">
        <v>1405</v>
      </c>
      <c r="J568" s="19" t="s">
        <v>1406</v>
      </c>
      <c r="K568" s="34"/>
      <c r="L568" s="36">
        <f t="shared" si="9"/>
        <v>1.7251263392025376</v>
      </c>
      <c r="M568" s="37"/>
      <c r="N568" s="37"/>
      <c r="O568" s="37"/>
      <c r="P568" s="37"/>
      <c r="Q568" s="37"/>
      <c r="R568" s="41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ht="15.75" thickBot="1">
      <c r="A569" s="20" t="s">
        <v>10</v>
      </c>
      <c r="B569" s="42" t="s">
        <v>49</v>
      </c>
      <c r="C569" s="43">
        <v>44223.676388888889</v>
      </c>
      <c r="D569" s="47" t="s">
        <v>1407</v>
      </c>
      <c r="E569" s="47" t="s">
        <v>13</v>
      </c>
      <c r="F569" s="47" t="s">
        <v>14</v>
      </c>
      <c r="G569" s="47" t="s">
        <v>30</v>
      </c>
      <c r="H569" s="48">
        <v>59</v>
      </c>
      <c r="I569" s="47" t="s">
        <v>1408</v>
      </c>
      <c r="J569" s="47" t="s">
        <v>1409</v>
      </c>
      <c r="K569" s="48"/>
      <c r="L569" s="49">
        <f t="shared" si="9"/>
        <v>10.281652222928889</v>
      </c>
      <c r="M569" s="50"/>
      <c r="N569" s="50"/>
      <c r="O569" s="50"/>
      <c r="P569" s="50"/>
      <c r="Q569" s="50"/>
      <c r="R569" s="51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ht="15">
      <c r="A570" s="20" t="s">
        <v>10</v>
      </c>
      <c r="B570" s="24" t="s">
        <v>58</v>
      </c>
      <c r="C570" s="25">
        <v>44223.609027777777</v>
      </c>
      <c r="D570" s="26" t="s">
        <v>1410</v>
      </c>
      <c r="E570" s="26" t="s">
        <v>13</v>
      </c>
      <c r="F570" s="26" t="s">
        <v>14</v>
      </c>
      <c r="G570" s="26" t="s">
        <v>96</v>
      </c>
      <c r="H570" s="27">
        <v>320</v>
      </c>
      <c r="I570" s="26" t="s">
        <v>1411</v>
      </c>
      <c r="J570" s="26" t="s">
        <v>1412</v>
      </c>
      <c r="K570" s="27"/>
      <c r="L570" s="28">
        <f t="shared" si="9"/>
        <v>0.89687860237999217</v>
      </c>
      <c r="M570" s="29"/>
      <c r="N570" s="29"/>
      <c r="O570" s="29"/>
      <c r="P570" s="29"/>
      <c r="Q570" s="29"/>
      <c r="R570" s="85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ht="15">
      <c r="A571" s="20" t="s">
        <v>10</v>
      </c>
      <c r="B571" s="32" t="s">
        <v>33</v>
      </c>
      <c r="C571" s="33">
        <v>44223.597916666666</v>
      </c>
      <c r="D571" s="19" t="s">
        <v>115</v>
      </c>
      <c r="E571" s="19" t="s">
        <v>13</v>
      </c>
      <c r="F571" s="19" t="s">
        <v>14</v>
      </c>
      <c r="G571" s="19" t="s">
        <v>191</v>
      </c>
      <c r="H571" s="34">
        <v>179</v>
      </c>
      <c r="I571" s="19" t="s">
        <v>1413</v>
      </c>
      <c r="J571" s="19" t="s">
        <v>1414</v>
      </c>
      <c r="K571" s="34"/>
      <c r="L571" s="36">
        <f t="shared" si="9"/>
        <v>0.96395449005554856</v>
      </c>
      <c r="M571" s="37"/>
      <c r="N571" s="37"/>
      <c r="O571" s="37"/>
      <c r="P571" s="37"/>
      <c r="Q571" s="37"/>
      <c r="R571" s="41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ht="15">
      <c r="A572" s="20" t="s">
        <v>10</v>
      </c>
      <c r="B572" s="32" t="s">
        <v>33</v>
      </c>
      <c r="C572" s="33">
        <v>44223.584027777775</v>
      </c>
      <c r="D572" s="19" t="s">
        <v>558</v>
      </c>
      <c r="E572" s="19" t="s">
        <v>13</v>
      </c>
      <c r="F572" s="19" t="s">
        <v>14</v>
      </c>
      <c r="G572" s="19" t="s">
        <v>100</v>
      </c>
      <c r="H572" s="34">
        <v>231</v>
      </c>
      <c r="I572" s="19" t="s">
        <v>1415</v>
      </c>
      <c r="J572" s="19" t="s">
        <v>1416</v>
      </c>
      <c r="K572" s="34"/>
      <c r="L572" s="36">
        <f t="shared" si="9"/>
        <v>6.3379808001866484</v>
      </c>
      <c r="M572" s="37"/>
      <c r="N572" s="37"/>
      <c r="O572" s="37"/>
      <c r="P572" s="37"/>
      <c r="Q572" s="37"/>
      <c r="R572" s="41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ht="15.75" thickBot="1">
      <c r="A573" s="20" t="s">
        <v>10</v>
      </c>
      <c r="B573" s="42" t="s">
        <v>49</v>
      </c>
      <c r="C573" s="43">
        <v>44223.553472222222</v>
      </c>
      <c r="D573" s="47" t="s">
        <v>1417</v>
      </c>
      <c r="E573" s="47" t="s">
        <v>13</v>
      </c>
      <c r="F573" s="47" t="s">
        <v>14</v>
      </c>
      <c r="G573" s="47" t="s">
        <v>327</v>
      </c>
      <c r="H573" s="48">
        <v>182</v>
      </c>
      <c r="I573" s="47" t="s">
        <v>1418</v>
      </c>
      <c r="J573" s="47" t="s">
        <v>1419</v>
      </c>
      <c r="K573" s="48"/>
      <c r="L573" s="49">
        <f t="shared" si="9"/>
        <v>15.305344972939009</v>
      </c>
      <c r="M573" s="50"/>
      <c r="N573" s="50"/>
      <c r="O573" s="50"/>
      <c r="P573" s="50"/>
      <c r="Q573" s="50"/>
      <c r="R573" s="51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ht="15">
      <c r="A574" s="20" t="s">
        <v>10</v>
      </c>
      <c r="B574" s="24" t="s">
        <v>58</v>
      </c>
      <c r="C574" s="25">
        <v>44223.504166666666</v>
      </c>
      <c r="D574" s="26" t="s">
        <v>1420</v>
      </c>
      <c r="E574" s="26" t="s">
        <v>13</v>
      </c>
      <c r="F574" s="26" t="s">
        <v>14</v>
      </c>
      <c r="G574" s="26" t="s">
        <v>96</v>
      </c>
      <c r="H574" s="27">
        <v>115</v>
      </c>
      <c r="I574" s="26" t="s">
        <v>1421</v>
      </c>
      <c r="J574" s="26" t="s">
        <v>1422</v>
      </c>
      <c r="K574" s="27"/>
      <c r="L574" s="28">
        <f t="shared" si="9"/>
        <v>0.20770174341898257</v>
      </c>
      <c r="M574" s="29"/>
      <c r="N574" s="29"/>
      <c r="O574" s="29"/>
      <c r="P574" s="29"/>
      <c r="Q574" s="29"/>
      <c r="R574" s="85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ht="15">
      <c r="A575" s="20" t="s">
        <v>10</v>
      </c>
      <c r="B575" s="32" t="s">
        <v>33</v>
      </c>
      <c r="C575" s="33">
        <v>44223.474999999999</v>
      </c>
      <c r="D575" s="19" t="s">
        <v>778</v>
      </c>
      <c r="E575" s="19" t="s">
        <v>13</v>
      </c>
      <c r="F575" s="19" t="s">
        <v>14</v>
      </c>
      <c r="G575" s="19" t="s">
        <v>187</v>
      </c>
      <c r="H575" s="34">
        <v>102</v>
      </c>
      <c r="I575" s="19" t="s">
        <v>1423</v>
      </c>
      <c r="J575" s="19" t="s">
        <v>1424</v>
      </c>
      <c r="K575" s="34"/>
      <c r="L575" s="36">
        <f t="shared" si="9"/>
        <v>13.789345158200666</v>
      </c>
      <c r="M575" s="37"/>
      <c r="N575" s="37"/>
      <c r="O575" s="37"/>
      <c r="P575" s="37"/>
      <c r="Q575" s="37"/>
      <c r="R575" s="41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ht="15.75" thickBot="1">
      <c r="A576" s="20" t="s">
        <v>10</v>
      </c>
      <c r="B576" s="42" t="s">
        <v>49</v>
      </c>
      <c r="C576" s="43">
        <v>44223.468055555553</v>
      </c>
      <c r="D576" s="47" t="s">
        <v>1425</v>
      </c>
      <c r="E576" s="47" t="s">
        <v>13</v>
      </c>
      <c r="F576" s="47" t="s">
        <v>14</v>
      </c>
      <c r="G576" s="47" t="s">
        <v>261</v>
      </c>
      <c r="H576" s="48">
        <v>185</v>
      </c>
      <c r="I576" s="47" t="s">
        <v>140</v>
      </c>
      <c r="J576" s="47" t="s">
        <v>1426</v>
      </c>
      <c r="K576" s="48"/>
      <c r="L576" s="49">
        <f t="shared" si="9"/>
        <v>2.9708170250397616</v>
      </c>
      <c r="M576" s="50"/>
      <c r="N576" s="50"/>
      <c r="O576" s="50"/>
      <c r="P576" s="50"/>
      <c r="Q576" s="50"/>
      <c r="R576" s="51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ht="15">
      <c r="A577" s="20" t="s">
        <v>10</v>
      </c>
      <c r="B577" s="24" t="s">
        <v>11</v>
      </c>
      <c r="C577" s="25">
        <v>44223.46597222222</v>
      </c>
      <c r="D577" s="26" t="s">
        <v>1427</v>
      </c>
      <c r="E577" s="26" t="s">
        <v>13</v>
      </c>
      <c r="F577" s="26" t="s">
        <v>14</v>
      </c>
      <c r="G577" s="26" t="s">
        <v>1428</v>
      </c>
      <c r="H577" s="27">
        <v>213</v>
      </c>
      <c r="I577" s="26" t="s">
        <v>1429</v>
      </c>
      <c r="J577" s="26" t="s">
        <v>1430</v>
      </c>
      <c r="K577" s="27"/>
      <c r="L577" s="28">
        <f t="shared" si="9"/>
        <v>0.16906309796670171</v>
      </c>
      <c r="M577" s="29"/>
      <c r="N577" s="29"/>
      <c r="O577" s="29"/>
      <c r="P577" s="29"/>
      <c r="Q577" s="29"/>
      <c r="R577" s="85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ht="15">
      <c r="A578" s="20" t="s">
        <v>10</v>
      </c>
      <c r="B578" s="32" t="s">
        <v>58</v>
      </c>
      <c r="C578" s="33">
        <v>44223.422222222223</v>
      </c>
      <c r="D578" s="19" t="s">
        <v>1431</v>
      </c>
      <c r="E578" s="19" t="s">
        <v>13</v>
      </c>
      <c r="F578" s="19" t="s">
        <v>14</v>
      </c>
      <c r="G578" s="19" t="s">
        <v>129</v>
      </c>
      <c r="H578" s="34">
        <v>128</v>
      </c>
      <c r="I578" s="19" t="s">
        <v>1432</v>
      </c>
      <c r="J578" s="19" t="s">
        <v>1433</v>
      </c>
      <c r="K578" s="34"/>
      <c r="L578" s="36">
        <f t="shared" si="9"/>
        <v>0.10669386475572455</v>
      </c>
      <c r="M578" s="37"/>
      <c r="N578" s="37"/>
      <c r="O578" s="37"/>
      <c r="P578" s="37"/>
      <c r="Q578" s="37"/>
      <c r="R578" s="41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ht="15">
      <c r="A579" s="20" t="s">
        <v>10</v>
      </c>
      <c r="B579" s="32" t="s">
        <v>33</v>
      </c>
      <c r="C579" s="33">
        <v>44223.415277777778</v>
      </c>
      <c r="D579" s="19" t="s">
        <v>405</v>
      </c>
      <c r="E579" s="19" t="s">
        <v>13</v>
      </c>
      <c r="F579" s="19" t="s">
        <v>14</v>
      </c>
      <c r="G579" s="19" t="s">
        <v>100</v>
      </c>
      <c r="H579" s="34">
        <v>33</v>
      </c>
      <c r="I579" s="19" t="s">
        <v>1434</v>
      </c>
      <c r="J579" s="19" t="s">
        <v>1435</v>
      </c>
      <c r="K579" s="34"/>
      <c r="L579" s="36">
        <f t="shared" si="9"/>
        <v>2.2485130236991431</v>
      </c>
      <c r="M579" s="37"/>
      <c r="N579" s="37"/>
      <c r="O579" s="37"/>
      <c r="P579" s="37"/>
      <c r="Q579" s="37"/>
      <c r="R579" s="41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ht="15">
      <c r="A580" s="20" t="s">
        <v>10</v>
      </c>
      <c r="B580" s="32" t="s">
        <v>33</v>
      </c>
      <c r="C580" s="33">
        <v>44223.407638888886</v>
      </c>
      <c r="D580" s="19" t="s">
        <v>1436</v>
      </c>
      <c r="E580" s="19" t="s">
        <v>13</v>
      </c>
      <c r="F580" s="19" t="s">
        <v>14</v>
      </c>
      <c r="G580" s="19" t="s">
        <v>100</v>
      </c>
      <c r="H580" s="34">
        <v>357</v>
      </c>
      <c r="I580" s="19" t="s">
        <v>1437</v>
      </c>
      <c r="J580" s="19" t="s">
        <v>1438</v>
      </c>
      <c r="K580" s="34"/>
      <c r="L580" s="36">
        <f t="shared" si="9"/>
        <v>3.9903931312988394</v>
      </c>
      <c r="M580" s="37"/>
      <c r="N580" s="37"/>
      <c r="O580" s="37"/>
      <c r="P580" s="37"/>
      <c r="Q580" s="37"/>
      <c r="R580" s="41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ht="15.75" thickBot="1">
      <c r="A581" s="20" t="s">
        <v>10</v>
      </c>
      <c r="B581" s="42" t="s">
        <v>49</v>
      </c>
      <c r="C581" s="43">
        <v>44223.4</v>
      </c>
      <c r="D581" s="47" t="s">
        <v>1439</v>
      </c>
      <c r="E581" s="47" t="s">
        <v>13</v>
      </c>
      <c r="F581" s="47" t="s">
        <v>14</v>
      </c>
      <c r="G581" s="47" t="s">
        <v>237</v>
      </c>
      <c r="H581" s="48">
        <v>193</v>
      </c>
      <c r="I581" s="47" t="s">
        <v>1440</v>
      </c>
      <c r="J581" s="47" t="s">
        <v>1441</v>
      </c>
      <c r="K581" s="48"/>
      <c r="L581" s="49">
        <f t="shared" si="9"/>
        <v>2.288900265371606</v>
      </c>
      <c r="M581" s="50"/>
      <c r="N581" s="50"/>
      <c r="O581" s="50"/>
      <c r="P581" s="50"/>
      <c r="Q581" s="50"/>
      <c r="R581" s="51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ht="15">
      <c r="A582" s="20" t="s">
        <v>10</v>
      </c>
      <c r="B582" s="24" t="s">
        <v>155</v>
      </c>
      <c r="C582" s="25">
        <v>44223.398611111108</v>
      </c>
      <c r="D582" s="26" t="s">
        <v>1442</v>
      </c>
      <c r="E582" s="26" t="s">
        <v>13</v>
      </c>
      <c r="F582" s="26" t="s">
        <v>14</v>
      </c>
      <c r="G582" s="26" t="s">
        <v>15</v>
      </c>
      <c r="H582" s="27">
        <v>6</v>
      </c>
      <c r="I582" s="26" t="s">
        <v>1443</v>
      </c>
      <c r="J582" s="26" t="s">
        <v>1444</v>
      </c>
      <c r="K582" s="27"/>
      <c r="L582" s="28">
        <f t="shared" si="9"/>
        <v>0.10061140438803957</v>
      </c>
      <c r="M582" s="29"/>
      <c r="N582" s="29"/>
      <c r="O582" s="29"/>
      <c r="P582" s="29"/>
      <c r="Q582" s="29"/>
      <c r="R582" s="85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ht="15">
      <c r="A583" s="20" t="s">
        <v>10</v>
      </c>
      <c r="B583" s="32" t="s">
        <v>58</v>
      </c>
      <c r="C583" s="33">
        <v>44223.352083333331</v>
      </c>
      <c r="D583" s="19" t="s">
        <v>1445</v>
      </c>
      <c r="E583" s="19" t="s">
        <v>13</v>
      </c>
      <c r="F583" s="19" t="s">
        <v>14</v>
      </c>
      <c r="G583" s="19" t="s">
        <v>85</v>
      </c>
      <c r="H583" s="34">
        <v>244</v>
      </c>
      <c r="I583" s="19" t="s">
        <v>1446</v>
      </c>
      <c r="J583" s="19" t="s">
        <v>1447</v>
      </c>
      <c r="K583" s="34"/>
      <c r="L583" s="36">
        <f t="shared" si="9"/>
        <v>6.6352027912363939E-3</v>
      </c>
      <c r="M583" s="37"/>
      <c r="N583" s="37"/>
      <c r="O583" s="37"/>
      <c r="P583" s="37"/>
      <c r="Q583" s="37"/>
      <c r="R583" s="41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ht="15">
      <c r="A584" s="20" t="s">
        <v>10</v>
      </c>
      <c r="B584" s="32" t="s">
        <v>159</v>
      </c>
      <c r="C584" s="33">
        <v>44223.350694444445</v>
      </c>
      <c r="D584" s="19" t="s">
        <v>1448</v>
      </c>
      <c r="E584" s="19" t="s">
        <v>13</v>
      </c>
      <c r="F584" s="19" t="s">
        <v>14</v>
      </c>
      <c r="G584" s="19" t="s">
        <v>15</v>
      </c>
      <c r="H584" s="34">
        <v>6</v>
      </c>
      <c r="I584" s="19" t="s">
        <v>1449</v>
      </c>
      <c r="J584" s="19" t="s">
        <v>1444</v>
      </c>
      <c r="K584" s="34"/>
      <c r="L584" s="36">
        <f t="shared" si="9"/>
        <v>5.7332709430404664E-3</v>
      </c>
      <c r="M584" s="37"/>
      <c r="N584" s="37"/>
      <c r="O584" s="37"/>
      <c r="P584" s="37"/>
      <c r="Q584" s="37"/>
      <c r="R584" s="41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ht="15">
      <c r="A585" s="20" t="s">
        <v>10</v>
      </c>
      <c r="B585" s="32" t="s">
        <v>33</v>
      </c>
      <c r="C585" s="33">
        <v>44223.348611111112</v>
      </c>
      <c r="D585" s="19" t="s">
        <v>1450</v>
      </c>
      <c r="E585" s="19" t="s">
        <v>13</v>
      </c>
      <c r="F585" s="19" t="s">
        <v>14</v>
      </c>
      <c r="G585" s="19" t="s">
        <v>1313</v>
      </c>
      <c r="H585" s="34">
        <v>143</v>
      </c>
      <c r="I585" s="19" t="s">
        <v>1451</v>
      </c>
      <c r="J585" s="19" t="s">
        <v>1452</v>
      </c>
      <c r="K585" s="34"/>
      <c r="L585" s="36">
        <f t="shared" si="9"/>
        <v>0.38597769005456967</v>
      </c>
      <c r="M585" s="37"/>
      <c r="N585" s="37"/>
      <c r="O585" s="37"/>
      <c r="P585" s="37"/>
      <c r="Q585" s="37"/>
      <c r="R585" s="41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ht="15">
      <c r="A586" s="20" t="s">
        <v>10</v>
      </c>
      <c r="B586" s="32" t="s">
        <v>33</v>
      </c>
      <c r="C586" s="33">
        <v>44223.332638888889</v>
      </c>
      <c r="D586" s="19" t="s">
        <v>1453</v>
      </c>
      <c r="E586" s="19" t="s">
        <v>13</v>
      </c>
      <c r="F586" s="19" t="s">
        <v>14</v>
      </c>
      <c r="G586" s="19" t="s">
        <v>184</v>
      </c>
      <c r="H586" s="34">
        <v>103</v>
      </c>
      <c r="I586" s="19" t="s">
        <v>1454</v>
      </c>
      <c r="J586" s="19" t="s">
        <v>1455</v>
      </c>
      <c r="K586" s="34"/>
      <c r="L586" s="36">
        <f t="shared" si="9"/>
        <v>7.768101881055931</v>
      </c>
      <c r="M586" s="37"/>
      <c r="N586" s="37"/>
      <c r="O586" s="37"/>
      <c r="P586" s="37"/>
      <c r="Q586" s="37"/>
      <c r="R586" s="41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ht="15">
      <c r="A587" s="20" t="s">
        <v>10</v>
      </c>
      <c r="B587" s="32" t="s">
        <v>33</v>
      </c>
      <c r="C587" s="33">
        <v>44223.325694444444</v>
      </c>
      <c r="D587" s="19" t="s">
        <v>1456</v>
      </c>
      <c r="E587" s="19" t="s">
        <v>13</v>
      </c>
      <c r="F587" s="19" t="s">
        <v>14</v>
      </c>
      <c r="G587" s="19" t="s">
        <v>187</v>
      </c>
      <c r="H587" s="34">
        <v>134</v>
      </c>
      <c r="I587" s="19" t="s">
        <v>1457</v>
      </c>
      <c r="J587" s="19" t="s">
        <v>1458</v>
      </c>
      <c r="K587" s="34"/>
      <c r="L587" s="36">
        <f t="shared" si="9"/>
        <v>3.5541893974828001</v>
      </c>
      <c r="M587" s="37"/>
      <c r="N587" s="37"/>
      <c r="O587" s="37"/>
      <c r="P587" s="37"/>
      <c r="Q587" s="37"/>
      <c r="R587" s="41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ht="15.75" thickBot="1">
      <c r="A588" s="20" t="s">
        <v>10</v>
      </c>
      <c r="B588" s="42" t="s">
        <v>49</v>
      </c>
      <c r="C588" s="43">
        <v>44223.318749999999</v>
      </c>
      <c r="D588" s="47" t="s">
        <v>1459</v>
      </c>
      <c r="E588" s="47" t="s">
        <v>13</v>
      </c>
      <c r="F588" s="47" t="s">
        <v>14</v>
      </c>
      <c r="G588" s="47" t="s">
        <v>655</v>
      </c>
      <c r="H588" s="48">
        <v>165</v>
      </c>
      <c r="I588" s="47" t="s">
        <v>1460</v>
      </c>
      <c r="J588" s="47" t="s">
        <v>1461</v>
      </c>
      <c r="K588" s="48"/>
      <c r="L588" s="49">
        <f t="shared" ref="L588:L600" si="10">ACOS((SIN(I587*PI()/180)*SIN(I588*PI()/180)+COS(I587*PI()/180)*COS(I588*PI()/180)*COS(J588*PI()/180-J587*PI()/180)))*3443.8985*1.852</f>
        <v>3.4935428053885045</v>
      </c>
      <c r="M588" s="50"/>
      <c r="N588" s="50"/>
      <c r="O588" s="50"/>
      <c r="P588" s="50"/>
      <c r="Q588" s="50"/>
      <c r="R588" s="51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ht="15">
      <c r="A589" s="20" t="s">
        <v>10</v>
      </c>
      <c r="B589" s="24" t="s">
        <v>58</v>
      </c>
      <c r="C589" s="25">
        <v>44223.261111111111</v>
      </c>
      <c r="D589" s="26" t="s">
        <v>1462</v>
      </c>
      <c r="E589" s="26" t="s">
        <v>13</v>
      </c>
      <c r="F589" s="26" t="s">
        <v>14</v>
      </c>
      <c r="G589" s="26" t="s">
        <v>143</v>
      </c>
      <c r="H589" s="27">
        <v>343</v>
      </c>
      <c r="I589" s="26" t="s">
        <v>1463</v>
      </c>
      <c r="J589" s="26" t="s">
        <v>1464</v>
      </c>
      <c r="K589" s="27"/>
      <c r="L589" s="28">
        <f t="shared" si="10"/>
        <v>0.9698808915458802</v>
      </c>
      <c r="M589" s="29"/>
      <c r="N589" s="29"/>
      <c r="O589" s="29"/>
      <c r="P589" s="29"/>
      <c r="Q589" s="29"/>
      <c r="R589" s="85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ht="15">
      <c r="A590" s="20" t="s">
        <v>10</v>
      </c>
      <c r="B590" s="32" t="s">
        <v>33</v>
      </c>
      <c r="C590" s="33">
        <v>44223.019444444442</v>
      </c>
      <c r="D590" s="19" t="s">
        <v>1065</v>
      </c>
      <c r="E590" s="19" t="s">
        <v>13</v>
      </c>
      <c r="F590" s="19" t="s">
        <v>14</v>
      </c>
      <c r="G590" s="19" t="s">
        <v>63</v>
      </c>
      <c r="H590" s="34">
        <v>21</v>
      </c>
      <c r="I590" s="19" t="s">
        <v>1465</v>
      </c>
      <c r="J590" s="19" t="s">
        <v>1466</v>
      </c>
      <c r="K590" s="34"/>
      <c r="L590" s="36">
        <f t="shared" si="10"/>
        <v>55.327496161600038</v>
      </c>
      <c r="M590" s="37"/>
      <c r="N590" s="37"/>
      <c r="O590" s="37"/>
      <c r="P590" s="37"/>
      <c r="Q590" s="37"/>
      <c r="R590" s="41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ht="15">
      <c r="A591" s="20" t="s">
        <v>10</v>
      </c>
      <c r="B591" s="32" t="s">
        <v>33</v>
      </c>
      <c r="C591" s="33">
        <v>44223.004861111112</v>
      </c>
      <c r="D591" s="19" t="s">
        <v>460</v>
      </c>
      <c r="E591" s="19" t="s">
        <v>13</v>
      </c>
      <c r="F591" s="19" t="s">
        <v>14</v>
      </c>
      <c r="G591" s="19" t="s">
        <v>100</v>
      </c>
      <c r="H591" s="34">
        <v>343</v>
      </c>
      <c r="I591" s="19" t="s">
        <v>1467</v>
      </c>
      <c r="J591" s="19" t="s">
        <v>1468</v>
      </c>
      <c r="K591" s="34"/>
      <c r="L591" s="36">
        <f t="shared" si="10"/>
        <v>7.7207346772538141</v>
      </c>
      <c r="M591" s="37"/>
      <c r="N591" s="37"/>
      <c r="O591" s="37"/>
      <c r="P591" s="37"/>
      <c r="Q591" s="37"/>
      <c r="R591" s="41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ht="15">
      <c r="A592" s="20" t="s">
        <v>10</v>
      </c>
      <c r="B592" s="32" t="s">
        <v>33</v>
      </c>
      <c r="C592" s="33">
        <v>44222.996527777781</v>
      </c>
      <c r="D592" s="19" t="s">
        <v>1469</v>
      </c>
      <c r="E592" s="19" t="s">
        <v>13</v>
      </c>
      <c r="F592" s="19" t="s">
        <v>14</v>
      </c>
      <c r="G592" s="19" t="s">
        <v>168</v>
      </c>
      <c r="H592" s="34">
        <v>13</v>
      </c>
      <c r="I592" s="19" t="s">
        <v>1470</v>
      </c>
      <c r="J592" s="19" t="s">
        <v>1471</v>
      </c>
      <c r="K592" s="34"/>
      <c r="L592" s="36">
        <f t="shared" si="10"/>
        <v>4.3573991077463603</v>
      </c>
      <c r="M592" s="37"/>
      <c r="N592" s="37"/>
      <c r="O592" s="37"/>
      <c r="P592" s="37"/>
      <c r="Q592" s="37"/>
      <c r="R592" s="41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ht="15">
      <c r="A593" s="20" t="s">
        <v>10</v>
      </c>
      <c r="B593" s="32" t="s">
        <v>33</v>
      </c>
      <c r="C593" s="33">
        <v>44222.988888888889</v>
      </c>
      <c r="D593" s="19" t="s">
        <v>1472</v>
      </c>
      <c r="E593" s="19" t="s">
        <v>13</v>
      </c>
      <c r="F593" s="19" t="s">
        <v>14</v>
      </c>
      <c r="G593" s="19" t="s">
        <v>539</v>
      </c>
      <c r="H593" s="34">
        <v>57</v>
      </c>
      <c r="I593" s="19" t="s">
        <v>1473</v>
      </c>
      <c r="J593" s="19" t="s">
        <v>1474</v>
      </c>
      <c r="K593" s="34"/>
      <c r="L593" s="36">
        <f t="shared" si="10"/>
        <v>3.7471017836659231</v>
      </c>
      <c r="M593" s="37"/>
      <c r="N593" s="37"/>
      <c r="O593" s="37"/>
      <c r="P593" s="37"/>
      <c r="Q593" s="37"/>
      <c r="R593" s="41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ht="15">
      <c r="A594" s="20" t="s">
        <v>10</v>
      </c>
      <c r="B594" s="32" t="s">
        <v>33</v>
      </c>
      <c r="C594" s="33">
        <v>44222.973611111112</v>
      </c>
      <c r="D594" s="19" t="s">
        <v>1475</v>
      </c>
      <c r="E594" s="19" t="s">
        <v>13</v>
      </c>
      <c r="F594" s="19" t="s">
        <v>14</v>
      </c>
      <c r="G594" s="19" t="s">
        <v>119</v>
      </c>
      <c r="H594" s="34">
        <v>94</v>
      </c>
      <c r="I594" s="19" t="s">
        <v>1476</v>
      </c>
      <c r="J594" s="19" t="s">
        <v>1477</v>
      </c>
      <c r="K594" s="34"/>
      <c r="L594" s="36">
        <f t="shared" si="10"/>
        <v>7.6449452534368243</v>
      </c>
      <c r="M594" s="37"/>
      <c r="N594" s="37"/>
      <c r="O594" s="37"/>
      <c r="P594" s="37"/>
      <c r="Q594" s="37"/>
      <c r="R594" s="41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ht="15">
      <c r="A595" s="20" t="s">
        <v>10</v>
      </c>
      <c r="B595" s="32" t="s">
        <v>28</v>
      </c>
      <c r="C595" s="33">
        <v>44222.968055555553</v>
      </c>
      <c r="D595" s="19" t="s">
        <v>1478</v>
      </c>
      <c r="E595" s="19" t="s">
        <v>13</v>
      </c>
      <c r="F595" s="19" t="s">
        <v>14</v>
      </c>
      <c r="G595" s="19" t="s">
        <v>216</v>
      </c>
      <c r="H595" s="34">
        <v>63</v>
      </c>
      <c r="I595" s="19" t="s">
        <v>1479</v>
      </c>
      <c r="J595" s="19" t="s">
        <v>1480</v>
      </c>
      <c r="K595" s="34"/>
      <c r="L595" s="36">
        <f t="shared" si="10"/>
        <v>3.1495241271258103</v>
      </c>
      <c r="M595" s="37"/>
      <c r="N595" s="37"/>
      <c r="O595" s="37"/>
      <c r="P595" s="37"/>
      <c r="Q595" s="37"/>
      <c r="R595" s="41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ht="15">
      <c r="A596" s="20" t="s">
        <v>10</v>
      </c>
      <c r="B596" s="32" t="s">
        <v>33</v>
      </c>
      <c r="C596" s="33">
        <v>44222.960416666669</v>
      </c>
      <c r="D596" s="19" t="s">
        <v>99</v>
      </c>
      <c r="E596" s="19" t="s">
        <v>13</v>
      </c>
      <c r="F596" s="19" t="s">
        <v>14</v>
      </c>
      <c r="G596" s="19" t="s">
        <v>100</v>
      </c>
      <c r="H596" s="34">
        <v>64</v>
      </c>
      <c r="I596" s="19" t="s">
        <v>1481</v>
      </c>
      <c r="J596" s="19" t="s">
        <v>1482</v>
      </c>
      <c r="K596" s="34"/>
      <c r="L596" s="36">
        <f t="shared" si="10"/>
        <v>3.8221411465885962</v>
      </c>
      <c r="M596" s="37"/>
      <c r="N596" s="37"/>
      <c r="O596" s="37"/>
      <c r="P596" s="37"/>
      <c r="Q596" s="37"/>
      <c r="R596" s="41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ht="15">
      <c r="A597" s="20" t="s">
        <v>10</v>
      </c>
      <c r="B597" s="32" t="s">
        <v>33</v>
      </c>
      <c r="C597" s="33">
        <v>44222.952777777777</v>
      </c>
      <c r="D597" s="19" t="s">
        <v>1483</v>
      </c>
      <c r="E597" s="19" t="s">
        <v>13</v>
      </c>
      <c r="F597" s="19" t="s">
        <v>14</v>
      </c>
      <c r="G597" s="19" t="s">
        <v>257</v>
      </c>
      <c r="H597" s="34">
        <v>348</v>
      </c>
      <c r="I597" s="19" t="s">
        <v>1484</v>
      </c>
      <c r="J597" s="19" t="s">
        <v>1485</v>
      </c>
      <c r="K597" s="34"/>
      <c r="L597" s="36">
        <f t="shared" si="10"/>
        <v>3.1584253414421153</v>
      </c>
      <c r="M597" s="37"/>
      <c r="N597" s="37"/>
      <c r="O597" s="37"/>
      <c r="P597" s="37"/>
      <c r="Q597" s="37"/>
      <c r="R597" s="41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ht="15.75" thickBot="1">
      <c r="A598" s="20" t="s">
        <v>10</v>
      </c>
      <c r="B598" s="42" t="s">
        <v>49</v>
      </c>
      <c r="C598" s="43">
        <v>44222.945833333331</v>
      </c>
      <c r="D598" s="47" t="s">
        <v>1486</v>
      </c>
      <c r="E598" s="47" t="s">
        <v>13</v>
      </c>
      <c r="F598" s="47" t="s">
        <v>14</v>
      </c>
      <c r="G598" s="47" t="s">
        <v>1078</v>
      </c>
      <c r="H598" s="48">
        <v>26</v>
      </c>
      <c r="I598" s="47" t="s">
        <v>1487</v>
      </c>
      <c r="J598" s="47" t="s">
        <v>1488</v>
      </c>
      <c r="K598" s="48"/>
      <c r="L598" s="49">
        <f t="shared" si="10"/>
        <v>3.3991672900961869</v>
      </c>
      <c r="M598" s="50"/>
      <c r="N598" s="50"/>
      <c r="O598" s="50"/>
      <c r="P598" s="50"/>
      <c r="Q598" s="50"/>
      <c r="R598" s="51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ht="15">
      <c r="A599" s="20" t="s">
        <v>10</v>
      </c>
      <c r="B599" s="24" t="s">
        <v>58</v>
      </c>
      <c r="C599" s="25">
        <v>44222.907638888886</v>
      </c>
      <c r="D599" s="26" t="s">
        <v>1489</v>
      </c>
      <c r="E599" s="26" t="s">
        <v>13</v>
      </c>
      <c r="F599" s="26" t="s">
        <v>14</v>
      </c>
      <c r="G599" s="26" t="s">
        <v>96</v>
      </c>
      <c r="H599" s="27">
        <v>208</v>
      </c>
      <c r="I599" s="26" t="s">
        <v>1490</v>
      </c>
      <c r="J599" s="26" t="s">
        <v>1491</v>
      </c>
      <c r="K599" s="27"/>
      <c r="L599" s="28">
        <f t="shared" si="10"/>
        <v>0.21901193244678596</v>
      </c>
      <c r="M599" s="29"/>
      <c r="N599" s="29"/>
      <c r="O599" s="29"/>
      <c r="P599" s="29"/>
      <c r="Q599" s="29"/>
      <c r="R599" s="85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ht="15.75" thickBot="1">
      <c r="A600" s="20" t="s">
        <v>10</v>
      </c>
      <c r="B600" s="42" t="s">
        <v>11</v>
      </c>
      <c r="C600" s="43">
        <v>44222.466666666667</v>
      </c>
      <c r="D600" s="47" t="s">
        <v>1492</v>
      </c>
      <c r="E600" s="47" t="s">
        <v>13</v>
      </c>
      <c r="F600" s="47" t="s">
        <v>14</v>
      </c>
      <c r="G600" s="47" t="s">
        <v>734</v>
      </c>
      <c r="H600" s="48">
        <v>229</v>
      </c>
      <c r="I600" s="47" t="s">
        <v>1493</v>
      </c>
      <c r="J600" s="47" t="s">
        <v>1494</v>
      </c>
      <c r="K600" s="48"/>
      <c r="L600" s="49">
        <f t="shared" si="10"/>
        <v>173.10176784156522</v>
      </c>
      <c r="M600" s="50"/>
      <c r="N600" s="50"/>
      <c r="O600" s="50"/>
      <c r="P600" s="50"/>
      <c r="Q600" s="50"/>
      <c r="R600" s="51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ht="15.75" thickBot="1">
      <c r="L601" s="8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ht="15.75" thickBot="1">
      <c r="K602" s="87" t="s">
        <v>1566</v>
      </c>
      <c r="L602" s="88">
        <f>SUM(L10:L600)</f>
        <v>6516.5040849161314</v>
      </c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>
      <c r="L607" s="6"/>
      <c r="M607" s="6"/>
      <c r="N607" s="6"/>
      <c r="O607" s="6"/>
      <c r="P607" s="6"/>
      <c r="Q607" s="6"/>
      <c r="R607" s="6"/>
      <c r="S607" s="6"/>
      <c r="T607" s="6"/>
      <c r="U607" s="389" t="s">
        <v>1643</v>
      </c>
      <c r="V607" s="390"/>
      <c r="W607" s="391"/>
      <c r="X607" s="6"/>
      <c r="Y607" s="6"/>
      <c r="Z607" s="6"/>
      <c r="AA607" s="6"/>
      <c r="AB607" s="6"/>
    </row>
    <row r="608" spans="1:28">
      <c r="L608" s="6"/>
      <c r="M608" s="6"/>
      <c r="N608" s="6"/>
      <c r="O608" s="6"/>
      <c r="P608" s="6"/>
      <c r="Q608" s="6"/>
      <c r="R608" s="6"/>
      <c r="S608" s="6"/>
      <c r="T608" s="6"/>
      <c r="U608" s="52" t="s">
        <v>1498</v>
      </c>
      <c r="V608" s="52" t="s">
        <v>1512</v>
      </c>
      <c r="W608" s="52" t="s">
        <v>1513</v>
      </c>
      <c r="X608" s="6"/>
      <c r="Y608" s="6"/>
      <c r="Z608" s="6"/>
      <c r="AA608" s="6"/>
      <c r="AB608" s="6"/>
    </row>
    <row r="609" spans="12:28" ht="15">
      <c r="L609" s="6"/>
      <c r="M609" s="6"/>
      <c r="N609" s="6"/>
      <c r="O609" s="6"/>
      <c r="P609" s="6"/>
      <c r="Q609" s="6"/>
      <c r="R609" s="6"/>
      <c r="S609" s="6"/>
      <c r="T609" s="6"/>
      <c r="U609" s="53">
        <f>AVERAGE(U39,U139,U229,U293,U376,U431,U519)</f>
        <v>773.24981944854972</v>
      </c>
      <c r="V609" s="53">
        <f t="shared" ref="V609:W609" si="11">AVERAGE(V39,V139,V229,V293,V376,V431,V519)</f>
        <v>45.080952380941845</v>
      </c>
      <c r="W609" s="53">
        <f t="shared" si="11"/>
        <v>7.940476190415211</v>
      </c>
      <c r="X609" s="6"/>
      <c r="Y609" s="6"/>
      <c r="Z609" s="6"/>
      <c r="AA609" s="6"/>
      <c r="AB609" s="6"/>
    </row>
    <row r="610" spans="12:28">
      <c r="X610" s="6"/>
      <c r="Y610" s="6"/>
      <c r="Z610" s="6"/>
      <c r="AA610" s="6"/>
      <c r="AB610" s="6"/>
    </row>
    <row r="611" spans="12:28">
      <c r="X611" s="6"/>
      <c r="Y611" s="6"/>
      <c r="Z611" s="6"/>
      <c r="AA611" s="6"/>
      <c r="AB611" s="6"/>
    </row>
    <row r="612" spans="12:28">
      <c r="U612" s="389" t="s">
        <v>1644</v>
      </c>
      <c r="V612" s="390"/>
      <c r="W612" s="391"/>
      <c r="X612" s="6"/>
      <c r="Y612" s="6"/>
      <c r="Z612" s="6"/>
      <c r="AA612" s="6"/>
      <c r="AB612" s="6"/>
    </row>
    <row r="613" spans="12:28">
      <c r="U613" s="52" t="s">
        <v>1498</v>
      </c>
      <c r="V613" s="52" t="s">
        <v>1512</v>
      </c>
      <c r="W613" s="52" t="s">
        <v>1513</v>
      </c>
      <c r="X613" s="6"/>
      <c r="Y613" s="6"/>
      <c r="Z613" s="6"/>
      <c r="AA613" s="6"/>
      <c r="AB613" s="6"/>
    </row>
    <row r="614" spans="12:28" ht="15">
      <c r="U614" s="53">
        <f>AVERAGE(U265,U334,U404,U471)</f>
        <v>116.34595145557759</v>
      </c>
      <c r="V614" s="53">
        <f>AVERAGE(V265,V334,V404,V471)</f>
        <v>5.8208333333604969</v>
      </c>
      <c r="W614" s="53"/>
      <c r="X614" s="6"/>
      <c r="Y614" s="6"/>
      <c r="Z614" s="6"/>
      <c r="AA614" s="6"/>
      <c r="AB614" s="6"/>
    </row>
    <row r="615" spans="12:28"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2:28"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2:28"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2:28"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2:28"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2:28"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2:28"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2:28"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2:28"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2:28"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2:28"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2:28"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2:28"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2:28"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2:28"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2:28"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2:28"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2:28"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2:28"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2:28"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2:28"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2:28"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2:28"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2:28"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2:28"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2:28"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2:28"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2:28"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2:28"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2:28"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2:28">
      <c r="X645" s="6"/>
      <c r="Y645" s="6"/>
      <c r="Z645" s="6"/>
      <c r="AA645" s="6"/>
      <c r="AB645" s="6"/>
    </row>
    <row r="646" spans="12:28">
      <c r="X646" s="6"/>
      <c r="Y646" s="6"/>
      <c r="Z646" s="6"/>
      <c r="AA646" s="6"/>
      <c r="AB646" s="6"/>
    </row>
    <row r="647" spans="12:28">
      <c r="X647" s="6"/>
      <c r="Y647" s="6"/>
      <c r="Z647" s="6"/>
      <c r="AA647" s="6"/>
      <c r="AB647" s="6"/>
    </row>
    <row r="648" spans="12:28">
      <c r="X648" s="6"/>
      <c r="Y648" s="6"/>
      <c r="Z648" s="6"/>
      <c r="AA648" s="6"/>
      <c r="AB648" s="6"/>
    </row>
    <row r="649" spans="12:28">
      <c r="X649" s="6"/>
      <c r="Y649" s="6"/>
      <c r="Z649" s="6"/>
      <c r="AA649" s="6"/>
      <c r="AB649" s="6"/>
    </row>
    <row r="650" spans="12:28">
      <c r="X650" s="6"/>
      <c r="Y650" s="6"/>
      <c r="Z650" s="6"/>
      <c r="AA650" s="6"/>
      <c r="AB650" s="6"/>
    </row>
    <row r="651" spans="12:28">
      <c r="X651" s="6"/>
      <c r="Y651" s="6"/>
      <c r="Z651" s="6"/>
      <c r="AA651" s="6"/>
      <c r="AB651" s="6"/>
    </row>
    <row r="652" spans="12:28">
      <c r="X652" s="6"/>
      <c r="Y652" s="6"/>
      <c r="Z652" s="6"/>
      <c r="AA652" s="6"/>
      <c r="AB652" s="6"/>
    </row>
    <row r="653" spans="12:28">
      <c r="X653" s="6"/>
      <c r="Y653" s="6"/>
      <c r="Z653" s="6"/>
      <c r="AA653" s="6"/>
      <c r="AB653" s="6"/>
    </row>
    <row r="654" spans="12:28">
      <c r="X654" s="6"/>
      <c r="Y654" s="6"/>
      <c r="Z654" s="6"/>
      <c r="AA654" s="6"/>
      <c r="AB654" s="6"/>
    </row>
    <row r="655" spans="12:28">
      <c r="X655" s="6"/>
      <c r="Y655" s="6"/>
      <c r="Z655" s="6"/>
      <c r="AA655" s="6"/>
      <c r="AB655" s="6"/>
    </row>
    <row r="656" spans="12:28">
      <c r="X656" s="6"/>
      <c r="Y656" s="6"/>
      <c r="Z656" s="6"/>
      <c r="AA656" s="6"/>
      <c r="AB656" s="6"/>
    </row>
    <row r="657" spans="24:28">
      <c r="X657" s="6"/>
      <c r="Y657" s="6"/>
      <c r="Z657" s="6"/>
      <c r="AA657" s="6"/>
      <c r="AB657" s="6"/>
    </row>
    <row r="658" spans="24:28">
      <c r="X658" s="6"/>
      <c r="Y658" s="6"/>
      <c r="Z658" s="6"/>
      <c r="AA658" s="6"/>
      <c r="AB658" s="6"/>
    </row>
    <row r="659" spans="24:28">
      <c r="X659" s="6"/>
      <c r="Y659" s="6"/>
      <c r="Z659" s="6"/>
      <c r="AA659" s="6"/>
      <c r="AB659" s="6"/>
    </row>
    <row r="660" spans="24:28">
      <c r="X660" s="6"/>
      <c r="Y660" s="6"/>
      <c r="Z660" s="6"/>
      <c r="AA660" s="6"/>
      <c r="AB660" s="6"/>
    </row>
    <row r="661" spans="24:28">
      <c r="X661" s="6"/>
      <c r="Y661" s="6"/>
      <c r="Z661" s="6"/>
      <c r="AA661" s="6"/>
      <c r="AB661" s="6"/>
    </row>
    <row r="662" spans="24:28">
      <c r="X662" s="6"/>
      <c r="Y662" s="6"/>
      <c r="Z662" s="6"/>
      <c r="AA662" s="6"/>
      <c r="AB662" s="6"/>
    </row>
    <row r="663" spans="24:28">
      <c r="X663" s="6"/>
      <c r="Y663" s="6"/>
      <c r="Z663" s="6"/>
      <c r="AA663" s="6"/>
      <c r="AB663" s="6"/>
    </row>
    <row r="664" spans="24:28">
      <c r="X664" s="6"/>
      <c r="Y664" s="6"/>
      <c r="Z664" s="6"/>
      <c r="AA664" s="6"/>
      <c r="AB664" s="6"/>
    </row>
    <row r="665" spans="24:28">
      <c r="X665" s="6"/>
      <c r="Y665" s="6"/>
      <c r="Z665" s="6"/>
      <c r="AA665" s="6"/>
      <c r="AB665" s="6"/>
    </row>
  </sheetData>
  <mergeCells count="13">
    <mergeCell ref="U37:W37"/>
    <mergeCell ref="U137:W137"/>
    <mergeCell ref="U227:W227"/>
    <mergeCell ref="U374:W374"/>
    <mergeCell ref="U263:W263"/>
    <mergeCell ref="U291:W291"/>
    <mergeCell ref="U332:W332"/>
    <mergeCell ref="U607:W607"/>
    <mergeCell ref="U612:W612"/>
    <mergeCell ref="U402:W402"/>
    <mergeCell ref="U429:W429"/>
    <mergeCell ref="U517:W517"/>
    <mergeCell ref="U469:W469"/>
  </mergeCells>
  <pageMargins left="0.7" right="0.7" top="0.75" bottom="0.75" header="0.3" footer="0.3"/>
  <pageSetup paperSize="9" orientation="portrait" horizontalDpi="4294967293" verticalDpi="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FAD04-0A4C-4A3E-AB85-794462C5869B}">
  <dimension ref="B2:AG99"/>
  <sheetViews>
    <sheetView topLeftCell="A4" zoomScale="85" zoomScaleNormal="85" workbookViewId="0">
      <selection activeCell="G7" sqref="G7"/>
    </sheetView>
  </sheetViews>
  <sheetFormatPr baseColWidth="10" defaultColWidth="11.42578125" defaultRowHeight="15"/>
  <cols>
    <col min="3" max="3" width="19.140625" customWidth="1"/>
    <col min="4" max="4" width="14.140625" customWidth="1"/>
    <col min="5" max="5" width="17.140625" customWidth="1"/>
    <col min="6" max="6" width="17.140625" style="265" customWidth="1"/>
    <col min="7" max="7" width="17.5703125" customWidth="1"/>
    <col min="8" max="8" width="22.42578125" customWidth="1"/>
    <col min="9" max="9" width="19.28515625" customWidth="1"/>
    <col min="10" max="10" width="13.5703125" customWidth="1"/>
    <col min="11" max="11" width="22" customWidth="1"/>
    <col min="12" max="12" width="10.42578125" customWidth="1"/>
    <col min="15" max="15" width="17.7109375" customWidth="1"/>
    <col min="16" max="16" width="15" customWidth="1"/>
    <col min="17" max="17" width="19.140625" customWidth="1"/>
    <col min="18" max="18" width="13.7109375" customWidth="1"/>
    <col min="19" max="19" width="17" customWidth="1"/>
    <col min="20" max="20" width="16.7109375" customWidth="1"/>
  </cols>
  <sheetData>
    <row r="2" spans="3:16" ht="15.75" thickBot="1">
      <c r="C2" s="403" t="s">
        <v>1780</v>
      </c>
      <c r="D2" s="403"/>
      <c r="E2" s="403"/>
      <c r="F2" s="403"/>
      <c r="G2" s="403"/>
      <c r="H2" s="403"/>
      <c r="I2" s="89"/>
      <c r="J2" s="89"/>
      <c r="K2" s="89"/>
      <c r="L2" s="89"/>
      <c r="M2" s="89"/>
      <c r="N2" s="89"/>
      <c r="O2" s="89"/>
      <c r="P2" s="89"/>
    </row>
    <row r="3" spans="3:16">
      <c r="C3" s="163" t="s">
        <v>1737</v>
      </c>
      <c r="D3" s="164" t="s">
        <v>1813</v>
      </c>
      <c r="E3" s="164" t="s">
        <v>1772</v>
      </c>
      <c r="F3" s="164" t="s">
        <v>1773</v>
      </c>
      <c r="G3" s="165" t="s">
        <v>1774</v>
      </c>
      <c r="I3" s="89"/>
      <c r="K3" s="89"/>
      <c r="L3" s="89"/>
      <c r="M3" s="89"/>
      <c r="N3" s="89"/>
      <c r="O3" s="89"/>
      <c r="P3" s="89"/>
    </row>
    <row r="4" spans="3:16">
      <c r="C4" s="89"/>
      <c r="D4" s="89">
        <f>'Cost and emission analysis'!F11</f>
        <v>0.6</v>
      </c>
      <c r="E4" s="89">
        <v>0.7</v>
      </c>
      <c r="F4" s="89">
        <v>0.66</v>
      </c>
      <c r="G4" s="204">
        <f>0.99*0.75</f>
        <v>0.74249999999999994</v>
      </c>
      <c r="I4" s="89"/>
      <c r="K4" s="89"/>
      <c r="L4" s="89"/>
      <c r="M4" s="89"/>
      <c r="N4" s="89"/>
      <c r="O4" s="89"/>
      <c r="P4" s="89"/>
    </row>
    <row r="5" spans="3:16">
      <c r="D5" s="89"/>
      <c r="E5" s="89"/>
      <c r="F5" s="89"/>
      <c r="G5" s="89"/>
      <c r="H5" s="89"/>
      <c r="I5" s="89"/>
      <c r="K5" s="89"/>
      <c r="L5" s="89"/>
      <c r="M5" s="89"/>
      <c r="N5" s="89"/>
      <c r="O5" s="89"/>
      <c r="P5" s="89"/>
    </row>
    <row r="6" spans="3:16">
      <c r="D6" s="148" t="s">
        <v>1812</v>
      </c>
      <c r="E6" s="148" t="s">
        <v>1738</v>
      </c>
      <c r="F6" s="148" t="s">
        <v>1775</v>
      </c>
      <c r="G6" s="148" t="s">
        <v>1776</v>
      </c>
      <c r="H6" s="89"/>
      <c r="I6" s="89"/>
      <c r="K6" s="89"/>
      <c r="L6" s="89"/>
      <c r="M6" s="89"/>
      <c r="N6" s="89"/>
      <c r="O6" s="89"/>
      <c r="P6" s="89"/>
    </row>
    <row r="7" spans="3:16">
      <c r="C7" s="89"/>
      <c r="D7" s="89">
        <v>0.5</v>
      </c>
      <c r="E7" s="89">
        <v>0.9</v>
      </c>
      <c r="F7" s="89">
        <v>0.76</v>
      </c>
      <c r="G7" s="147">
        <f>'Thermodynamic data'!B10/(12+'Thermodynamic data'!B10)</f>
        <v>0.73519753644974384</v>
      </c>
      <c r="H7" s="89"/>
      <c r="I7" s="89"/>
      <c r="K7" s="89"/>
      <c r="L7" s="89"/>
      <c r="M7" s="89"/>
      <c r="N7" s="89"/>
      <c r="O7" s="89"/>
      <c r="P7" s="89"/>
    </row>
    <row r="8" spans="3:16">
      <c r="C8" s="89"/>
      <c r="D8" s="89"/>
      <c r="E8" s="89"/>
      <c r="F8" s="89"/>
      <c r="G8" s="89"/>
      <c r="H8" s="89"/>
      <c r="I8" s="89"/>
      <c r="K8" s="89"/>
      <c r="L8" s="89"/>
      <c r="M8" s="89"/>
      <c r="N8" s="89"/>
      <c r="O8" s="89"/>
      <c r="P8" s="89"/>
    </row>
    <row r="9" spans="3:16">
      <c r="C9" s="166" t="s">
        <v>1743</v>
      </c>
      <c r="D9" s="167" t="s">
        <v>1498</v>
      </c>
      <c r="E9" s="167" t="s">
        <v>1744</v>
      </c>
      <c r="F9" s="168" t="s">
        <v>1745</v>
      </c>
      <c r="G9" s="168" t="s">
        <v>1755</v>
      </c>
      <c r="H9" s="168" t="s">
        <v>1806</v>
      </c>
      <c r="I9" s="170" t="s">
        <v>1807</v>
      </c>
      <c r="K9" s="89"/>
      <c r="L9" s="89"/>
      <c r="M9" s="89"/>
      <c r="N9" s="89"/>
      <c r="O9" s="89"/>
      <c r="P9" s="89"/>
    </row>
    <row r="10" spans="3:16">
      <c r="C10" s="89"/>
      <c r="D10" s="216">
        <v>1000</v>
      </c>
      <c r="E10" s="89">
        <v>5</v>
      </c>
      <c r="F10" s="89">
        <f>D10*E10</f>
        <v>5000</v>
      </c>
      <c r="G10" s="89">
        <v>12000</v>
      </c>
      <c r="H10" s="89">
        <f>4.5</f>
        <v>4.5</v>
      </c>
      <c r="I10" s="89">
        <f>0.75</f>
        <v>0.75</v>
      </c>
      <c r="K10" s="89"/>
      <c r="L10" s="89"/>
      <c r="M10" s="89"/>
      <c r="N10" s="89"/>
      <c r="O10" s="89"/>
      <c r="P10" s="89"/>
    </row>
    <row r="11" spans="3:16">
      <c r="C11" s="89"/>
      <c r="D11" s="89"/>
      <c r="E11" s="89"/>
      <c r="F11" s="89"/>
      <c r="G11" s="89"/>
      <c r="H11" s="89"/>
      <c r="I11" s="89"/>
      <c r="K11" s="89"/>
      <c r="L11" s="89"/>
    </row>
    <row r="12" spans="3:16">
      <c r="C12" s="166" t="s">
        <v>1740</v>
      </c>
      <c r="D12" s="169">
        <f>(F12*'Thermodynamic data'!B10)</f>
        <v>99950.396825396834</v>
      </c>
      <c r="E12" s="167" t="s">
        <v>1897</v>
      </c>
      <c r="F12" s="217">
        <v>3000</v>
      </c>
      <c r="G12" s="167" t="s">
        <v>1940</v>
      </c>
      <c r="H12" s="89" t="s">
        <v>1895</v>
      </c>
      <c r="I12" s="89"/>
      <c r="K12" s="89"/>
      <c r="L12" s="89"/>
    </row>
    <row r="13" spans="3:16">
      <c r="C13" s="89"/>
      <c r="D13" s="89"/>
      <c r="E13" s="89"/>
      <c r="F13" s="89"/>
      <c r="G13" s="89"/>
      <c r="H13" s="89"/>
      <c r="I13" s="89"/>
      <c r="K13" s="89"/>
      <c r="L13" s="89"/>
    </row>
    <row r="14" spans="3:16">
      <c r="C14" s="166" t="s">
        <v>1750</v>
      </c>
      <c r="D14" s="167" t="s">
        <v>1751</v>
      </c>
      <c r="E14" s="167" t="s">
        <v>1752</v>
      </c>
      <c r="F14" s="168" t="s">
        <v>1891</v>
      </c>
      <c r="G14" s="168" t="s">
        <v>1756</v>
      </c>
      <c r="H14" s="89"/>
      <c r="I14" s="89"/>
      <c r="K14" s="89"/>
      <c r="L14" s="89"/>
    </row>
    <row r="15" spans="3:16">
      <c r="C15" s="148" t="s">
        <v>1754</v>
      </c>
      <c r="D15" s="147">
        <f>D12/'Thermodynamic data'!B27</f>
        <v>49975.198412698417</v>
      </c>
      <c r="E15" s="147">
        <f>D12/'Thermodynamic data'!E24</f>
        <v>29362.742683113778</v>
      </c>
      <c r="F15" s="147">
        <f>D12/'Thermodynamic data'!E11</f>
        <v>58496.231352463605</v>
      </c>
      <c r="G15" s="147">
        <f>D15+G10</f>
        <v>61975.198412698417</v>
      </c>
      <c r="H15" s="89"/>
      <c r="I15" s="89"/>
      <c r="K15" s="89"/>
      <c r="L15" s="89"/>
    </row>
    <row r="16" spans="3:16" s="261" customFormat="1">
      <c r="C16" s="208" t="s">
        <v>1890</v>
      </c>
      <c r="D16" s="147">
        <f>D15-F12</f>
        <v>46975.198412698417</v>
      </c>
      <c r="E16" s="147">
        <f>E15-(D12/'Thermodynamic data'!E19)</f>
        <v>10223.304993144171</v>
      </c>
      <c r="F16" s="147">
        <f>F15-F12</f>
        <v>55496.231352463605</v>
      </c>
      <c r="G16" s="147" t="s">
        <v>1892</v>
      </c>
      <c r="I16" s="89"/>
      <c r="K16" s="89"/>
      <c r="L16" s="89"/>
    </row>
    <row r="17" spans="3:33">
      <c r="C17" s="89"/>
      <c r="D17" s="89"/>
      <c r="E17" s="89"/>
      <c r="F17" s="89"/>
      <c r="G17" s="89"/>
      <c r="H17" s="89"/>
      <c r="I17" s="89"/>
      <c r="K17" s="89"/>
      <c r="L17" s="89"/>
    </row>
    <row r="18" spans="3:33">
      <c r="C18" s="166" t="s">
        <v>1746</v>
      </c>
      <c r="D18" s="167" t="s">
        <v>1747</v>
      </c>
      <c r="E18" s="167" t="s">
        <v>1748</v>
      </c>
      <c r="F18" s="168" t="s">
        <v>1749</v>
      </c>
      <c r="G18" s="166"/>
      <c r="H18" s="89"/>
      <c r="I18" s="89"/>
      <c r="K18" s="89"/>
      <c r="L18" s="89"/>
    </row>
    <row r="19" spans="3:33">
      <c r="C19" s="262" t="s">
        <v>1754</v>
      </c>
      <c r="D19" s="147">
        <f>(D15+G10)/G15</f>
        <v>1</v>
      </c>
      <c r="E19" s="147">
        <f>(E15+G10)/G15</f>
        <v>0.66740799130122275</v>
      </c>
      <c r="F19" s="147">
        <f>(F15+G10)/G15</f>
        <v>1.1374910150835316</v>
      </c>
      <c r="G19" s="89"/>
      <c r="H19" s="89"/>
      <c r="I19" s="89"/>
      <c r="K19" s="89"/>
      <c r="L19" s="89"/>
    </row>
    <row r="20" spans="3:33" s="200" customFormat="1">
      <c r="C20" s="208" t="s">
        <v>1893</v>
      </c>
      <c r="D20" s="147">
        <f>D16/D15</f>
        <v>0.93997022332506208</v>
      </c>
      <c r="E20" s="147">
        <f>E16/E15</f>
        <v>0.348172686164753</v>
      </c>
      <c r="F20" s="147">
        <f>F16/F15</f>
        <v>0.94871464484739576</v>
      </c>
      <c r="G20" s="89"/>
      <c r="H20" s="89"/>
      <c r="I20" s="89"/>
      <c r="K20" s="89"/>
      <c r="L20" s="89"/>
    </row>
    <row r="21" spans="3:33" s="200" customFormat="1"/>
    <row r="22" spans="3:33" s="200" customFormat="1">
      <c r="C22" s="166" t="s">
        <v>1808</v>
      </c>
      <c r="D22" s="169" t="s">
        <v>1816</v>
      </c>
      <c r="E22" s="169" t="s">
        <v>1817</v>
      </c>
      <c r="F22" s="169" t="s">
        <v>1761</v>
      </c>
      <c r="G22" s="167"/>
      <c r="H22" s="89"/>
      <c r="I22" s="89"/>
      <c r="K22" s="89"/>
      <c r="L22" s="89"/>
    </row>
    <row r="23" spans="3:33" ht="15.75" thickBot="1">
      <c r="C23" s="89" t="s">
        <v>1810</v>
      </c>
      <c r="D23" s="147">
        <v>0.95</v>
      </c>
      <c r="E23" s="214">
        <v>1</v>
      </c>
      <c r="F23" s="215">
        <f>E23*D12*(1-D23)</f>
        <v>4997.5198412698464</v>
      </c>
      <c r="G23" s="89"/>
      <c r="H23" s="89"/>
      <c r="I23" s="89"/>
      <c r="K23" s="89"/>
      <c r="L23" s="89"/>
      <c r="M23" s="89"/>
      <c r="N23" s="413" t="s">
        <v>1945</v>
      </c>
      <c r="O23" s="413"/>
      <c r="P23" s="413"/>
      <c r="Q23" s="413"/>
      <c r="R23" s="413"/>
    </row>
    <row r="24" spans="3:33">
      <c r="C24" s="89"/>
      <c r="D24" s="89"/>
      <c r="E24" s="89"/>
      <c r="F24" s="89"/>
      <c r="G24" s="89"/>
      <c r="H24" s="89"/>
      <c r="I24" s="89"/>
      <c r="K24" s="89"/>
      <c r="L24" s="89"/>
      <c r="M24" s="89"/>
      <c r="P24" s="331">
        <v>0.3</v>
      </c>
      <c r="V24" s="331"/>
    </row>
    <row r="25" spans="3:33" ht="15.75" thickBot="1">
      <c r="C25" s="166" t="s">
        <v>1808</v>
      </c>
      <c r="D25" s="167" t="s">
        <v>1757</v>
      </c>
      <c r="E25" s="167" t="s">
        <v>1758</v>
      </c>
      <c r="F25" s="168" t="s">
        <v>1759</v>
      </c>
      <c r="G25" s="170" t="s">
        <v>1760</v>
      </c>
      <c r="H25" s="170" t="s">
        <v>1761</v>
      </c>
      <c r="I25" s="89"/>
      <c r="K25" s="89"/>
      <c r="L25" s="89"/>
      <c r="M25" s="89"/>
    </row>
    <row r="26" spans="3:33">
      <c r="C26" s="148" t="s">
        <v>1811</v>
      </c>
      <c r="D26" s="89">
        <v>0.5</v>
      </c>
      <c r="E26" s="216">
        <v>70</v>
      </c>
      <c r="F26" s="147">
        <f>(D10/E26) + ((D10/E26)/H10)*I10</f>
        <v>16.666666666666668</v>
      </c>
      <c r="G26" s="147">
        <f>(F26/24)*D26</f>
        <v>0.34722222222222227</v>
      </c>
      <c r="H26" s="147">
        <f>(G26/100)*D12</f>
        <v>347.04998897707236</v>
      </c>
      <c r="I26" s="89"/>
      <c r="K26" s="147"/>
      <c r="L26" s="89"/>
      <c r="M26" s="89"/>
      <c r="O26" s="410" t="s">
        <v>1949</v>
      </c>
      <c r="P26" s="411"/>
      <c r="Q26" s="412"/>
    </row>
    <row r="27" spans="3:33"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307"/>
      <c r="O27" s="334"/>
      <c r="P27" s="253"/>
      <c r="Q27" s="254"/>
    </row>
    <row r="28" spans="3:33">
      <c r="C28" s="89"/>
      <c r="D28" s="89"/>
      <c r="E28" s="89"/>
      <c r="F28" s="147"/>
      <c r="G28" s="147"/>
      <c r="H28" s="89"/>
      <c r="I28" s="89"/>
      <c r="J28" s="89"/>
      <c r="K28" s="89"/>
      <c r="L28" s="89"/>
      <c r="M28" s="216"/>
      <c r="N28" s="312"/>
      <c r="O28" s="335"/>
      <c r="P28" s="253"/>
      <c r="Q28" s="254"/>
    </row>
    <row r="29" spans="3:33" ht="15.75" thickBot="1">
      <c r="C29" s="319" t="s">
        <v>1779</v>
      </c>
      <c r="D29" s="401" t="s">
        <v>1778</v>
      </c>
      <c r="E29" s="402"/>
      <c r="F29" s="323" t="s">
        <v>1939</v>
      </c>
      <c r="G29" s="161" t="s">
        <v>1771</v>
      </c>
      <c r="H29" s="304" t="s">
        <v>1720</v>
      </c>
      <c r="I29" s="406" t="s">
        <v>1814</v>
      </c>
      <c r="J29" s="407"/>
      <c r="K29" s="407"/>
      <c r="L29" s="407"/>
      <c r="M29" s="314"/>
      <c r="N29" s="329"/>
      <c r="O29" s="409" t="s">
        <v>1778</v>
      </c>
      <c r="P29" s="402"/>
      <c r="Q29" s="336" t="s">
        <v>1939</v>
      </c>
      <c r="R29" s="331"/>
    </row>
    <row r="30" spans="3:33">
      <c r="C30" s="320" t="s">
        <v>1739</v>
      </c>
      <c r="D30" s="159" t="s">
        <v>1741</v>
      </c>
      <c r="E30" s="159" t="s">
        <v>1742</v>
      </c>
      <c r="F30" s="322" t="s">
        <v>1930</v>
      </c>
      <c r="G30" s="160" t="s">
        <v>1743</v>
      </c>
      <c r="H30" s="162" t="s">
        <v>1809</v>
      </c>
      <c r="I30" s="305" t="s">
        <v>1770</v>
      </c>
      <c r="J30" s="404" t="s">
        <v>1781</v>
      </c>
      <c r="K30" s="405"/>
      <c r="L30" s="405"/>
      <c r="M30" s="315"/>
      <c r="N30" s="311"/>
      <c r="O30" s="337" t="s">
        <v>1741</v>
      </c>
      <c r="P30" s="333" t="s">
        <v>1742</v>
      </c>
      <c r="Q30" s="338" t="s">
        <v>1930</v>
      </c>
      <c r="R30" s="331"/>
      <c r="V30" s="331"/>
      <c r="W30" s="408"/>
      <c r="X30" s="408"/>
      <c r="Y30" s="331"/>
      <c r="Z30" s="331"/>
      <c r="AA30" s="331"/>
      <c r="AB30" s="408"/>
      <c r="AC30" s="408"/>
      <c r="AD30" s="408"/>
      <c r="AE30" s="408"/>
      <c r="AF30" s="331"/>
      <c r="AG30" s="331"/>
    </row>
    <row r="31" spans="3:33" s="263" customFormat="1">
      <c r="C31" s="321" t="s">
        <v>1928</v>
      </c>
      <c r="D31" s="154">
        <f>D33/D34</f>
        <v>166583.99470899472</v>
      </c>
      <c r="E31" s="154">
        <f>E33*(1-E34)</f>
        <v>29985.119047619053</v>
      </c>
      <c r="F31" s="212">
        <f>D31+E31</f>
        <v>196569.11375661378</v>
      </c>
      <c r="G31" s="155">
        <f>(F10*D19)+(F10*D20)</f>
        <v>9699.8511166253102</v>
      </c>
      <c r="H31" s="156">
        <v>0</v>
      </c>
      <c r="I31" s="211">
        <f>F31+G31</f>
        <v>206268.96487323908</v>
      </c>
      <c r="J31" s="210" t="s">
        <v>1933</v>
      </c>
      <c r="K31" s="210"/>
      <c r="L31" s="308" t="s">
        <v>1935</v>
      </c>
      <c r="M31" s="316"/>
      <c r="N31" s="330"/>
      <c r="O31" s="339">
        <f>O33/O34</f>
        <v>166583.99470899472</v>
      </c>
      <c r="P31" s="327">
        <f>(P33/P34)-P33</f>
        <v>29985.119047619068</v>
      </c>
      <c r="Q31" s="340">
        <f>O31+P31</f>
        <v>196569.11375661381</v>
      </c>
      <c r="R31" s="331" t="s">
        <v>1948</v>
      </c>
      <c r="V31" s="331"/>
      <c r="W31" s="331"/>
      <c r="X31" s="331"/>
      <c r="Y31" s="331"/>
      <c r="Z31" s="331"/>
      <c r="AA31" s="331"/>
      <c r="AB31" s="331"/>
      <c r="AC31" s="408"/>
      <c r="AD31" s="408"/>
      <c r="AE31" s="408"/>
      <c r="AF31" s="331"/>
      <c r="AG31" s="331"/>
    </row>
    <row r="32" spans="3:33">
      <c r="C32" s="321" t="s">
        <v>1764</v>
      </c>
      <c r="D32" s="154">
        <f>D31*(1-D34)</f>
        <v>66633.597883597889</v>
      </c>
      <c r="E32" s="154">
        <f>E31</f>
        <v>29985.119047619053</v>
      </c>
      <c r="F32" s="212">
        <f>D32+E32</f>
        <v>96618.716931216943</v>
      </c>
      <c r="G32" s="328">
        <f>G31</f>
        <v>9699.8511166253102</v>
      </c>
      <c r="H32" s="156">
        <f>H26+F23</f>
        <v>5344.5698302469191</v>
      </c>
      <c r="I32" s="212">
        <f>F32+G32+H32</f>
        <v>111663.13787808918</v>
      </c>
      <c r="J32" s="210" t="s">
        <v>1934</v>
      </c>
      <c r="K32" s="210"/>
      <c r="L32" s="309"/>
      <c r="M32" s="317"/>
      <c r="N32" s="311"/>
      <c r="O32" s="339">
        <f>O31-O33</f>
        <v>66633.597883597889</v>
      </c>
      <c r="P32" s="339">
        <f>P31</f>
        <v>29985.119047619068</v>
      </c>
      <c r="Q32" s="340">
        <f>O32+P32</f>
        <v>96618.716931216957</v>
      </c>
      <c r="R32" s="331" t="s">
        <v>1947</v>
      </c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</row>
    <row r="33" spans="3:33" s="263" customFormat="1">
      <c r="C33" s="321" t="s">
        <v>1929</v>
      </c>
      <c r="D33" s="154">
        <f>D12</f>
        <v>99950.396825396834</v>
      </c>
      <c r="E33" s="154">
        <f>D33</f>
        <v>99950.396825396834</v>
      </c>
      <c r="F33" s="212">
        <f>E33</f>
        <v>99950.396825396834</v>
      </c>
      <c r="G33" s="155">
        <f>F33</f>
        <v>99950.396825396834</v>
      </c>
      <c r="H33" s="156">
        <f>G33-H32</f>
        <v>94605.82699514991</v>
      </c>
      <c r="I33" s="212">
        <f>H33*D7*E7</f>
        <v>42572.622147817463</v>
      </c>
      <c r="J33" s="210" t="s">
        <v>1932</v>
      </c>
      <c r="K33" s="210"/>
      <c r="L33" s="309" t="s">
        <v>1936</v>
      </c>
      <c r="M33" s="317"/>
      <c r="N33" s="311"/>
      <c r="O33" s="339">
        <f>D33</f>
        <v>99950.396825396834</v>
      </c>
      <c r="P33" s="173">
        <f>O33</f>
        <v>99950.396825396834</v>
      </c>
      <c r="Q33" s="340">
        <f>P33</f>
        <v>99950.396825396834</v>
      </c>
      <c r="R33" s="331" t="s">
        <v>1720</v>
      </c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</row>
    <row r="34" spans="3:33" ht="15.75" thickBot="1">
      <c r="C34" s="321" t="s">
        <v>1652</v>
      </c>
      <c r="D34" s="173">
        <f>D4</f>
        <v>0.6</v>
      </c>
      <c r="E34" s="173">
        <f>E4</f>
        <v>0.7</v>
      </c>
      <c r="F34" s="211">
        <f>F33/F31</f>
        <v>0.50847457627118642</v>
      </c>
      <c r="G34" s="172">
        <f>1-(G31/(G31+G33))</f>
        <v>0.91153826554269046</v>
      </c>
      <c r="H34" s="156">
        <f>1-(H32/(H33+H32))</f>
        <v>0.94652777777777775</v>
      </c>
      <c r="I34" s="211">
        <f>F34*G34*H34*D7*E7</f>
        <v>0.19741948982013036</v>
      </c>
      <c r="J34" s="210" t="s">
        <v>1927</v>
      </c>
      <c r="K34" s="210"/>
      <c r="L34" s="308"/>
      <c r="M34" s="324"/>
      <c r="N34" s="311"/>
      <c r="O34" s="341">
        <f>D34</f>
        <v>0.6</v>
      </c>
      <c r="P34" s="342">
        <f>(P33)/(P33*(1+P24))</f>
        <v>0.76923076923076916</v>
      </c>
      <c r="Q34" s="346">
        <f>Q33/Q31</f>
        <v>0.50847457627118631</v>
      </c>
      <c r="R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</row>
    <row r="35" spans="3:33">
      <c r="C35" s="319"/>
      <c r="D35" s="151"/>
      <c r="E35" s="151"/>
      <c r="F35" s="210"/>
      <c r="G35" s="157"/>
      <c r="H35" s="158"/>
      <c r="I35" s="210"/>
      <c r="J35" s="393"/>
      <c r="K35" s="394"/>
      <c r="L35" s="395"/>
      <c r="M35" s="318"/>
      <c r="N35" s="310"/>
      <c r="O35" s="310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</row>
    <row r="36" spans="3:33">
      <c r="C36" s="320" t="s">
        <v>1765</v>
      </c>
      <c r="D36" s="151" t="s">
        <v>1741</v>
      </c>
      <c r="E36" s="325" t="s">
        <v>1937</v>
      </c>
      <c r="F36" s="210" t="s">
        <v>1930</v>
      </c>
      <c r="G36" s="152" t="s">
        <v>1743</v>
      </c>
      <c r="H36" s="153" t="s">
        <v>1766</v>
      </c>
      <c r="I36" s="306" t="s">
        <v>1770</v>
      </c>
      <c r="J36" s="396" t="s">
        <v>1931</v>
      </c>
      <c r="K36" s="397"/>
      <c r="L36" s="397"/>
      <c r="M36" s="315"/>
      <c r="N36" s="313"/>
      <c r="O36" s="313"/>
      <c r="U36" s="331"/>
      <c r="V36" s="331"/>
      <c r="W36" s="331"/>
      <c r="X36" s="331"/>
      <c r="Y36" s="331"/>
      <c r="Z36" s="331"/>
      <c r="AA36" s="331"/>
      <c r="AB36" s="331"/>
      <c r="AC36" s="408"/>
      <c r="AD36" s="408"/>
      <c r="AE36" s="408"/>
      <c r="AF36" s="331"/>
      <c r="AG36" s="331"/>
    </row>
    <row r="37" spans="3:33">
      <c r="C37" s="321" t="s">
        <v>1928</v>
      </c>
      <c r="D37" s="154">
        <f>D39/D40</f>
        <v>166583.99470899472</v>
      </c>
      <c r="E37" s="326">
        <f>(E39/E40)-E39</f>
        <v>51489.598364598351</v>
      </c>
      <c r="F37" s="212">
        <f>D37+E37</f>
        <v>218073.59307359307</v>
      </c>
      <c r="G37" s="155">
        <f>(F10*E19)+(F10*E20)</f>
        <v>5077.9033873298786</v>
      </c>
      <c r="H37" s="156">
        <f>G39*(1-H40)</f>
        <v>23988.09523809524</v>
      </c>
      <c r="I37" s="212">
        <f>F37+G37</f>
        <v>223151.49646092296</v>
      </c>
      <c r="J37" s="210" t="s">
        <v>1933</v>
      </c>
      <c r="K37" s="210"/>
      <c r="L37" s="308" t="s">
        <v>1935</v>
      </c>
      <c r="M37" s="316"/>
      <c r="N37" s="311"/>
      <c r="O37" s="310"/>
      <c r="U37" s="331"/>
      <c r="V37" s="331"/>
      <c r="W37" s="331"/>
      <c r="X37" s="331"/>
      <c r="Y37" s="331"/>
      <c r="Z37" s="331"/>
      <c r="AA37" s="331"/>
      <c r="AB37" s="331"/>
      <c r="AC37" s="408"/>
      <c r="AD37" s="408"/>
      <c r="AE37" s="408"/>
      <c r="AF37" s="331"/>
      <c r="AG37" s="331"/>
    </row>
    <row r="38" spans="3:33" s="263" customFormat="1">
      <c r="C38" s="321" t="s">
        <v>1764</v>
      </c>
      <c r="D38" s="154">
        <f>D37*(1-D40)</f>
        <v>66633.597883597889</v>
      </c>
      <c r="E38" s="326">
        <f>(D39+E37)*(1-E40)</f>
        <v>51489.598364598358</v>
      </c>
      <c r="F38" s="212">
        <f>D38+E38</f>
        <v>118123.19624819624</v>
      </c>
      <c r="G38" s="172">
        <f>G37</f>
        <v>5077.9033873298786</v>
      </c>
      <c r="H38" s="174">
        <f>H37</f>
        <v>23988.09523809524</v>
      </c>
      <c r="I38" s="212">
        <f>F38+G38+H38</f>
        <v>147189.19487362137</v>
      </c>
      <c r="J38" s="210" t="s">
        <v>1934</v>
      </c>
      <c r="K38" s="210"/>
      <c r="L38" s="309"/>
      <c r="M38" s="316"/>
      <c r="N38" s="311"/>
      <c r="O38" s="310"/>
      <c r="P38" s="310"/>
      <c r="Q38" s="311"/>
      <c r="R38" s="31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</row>
    <row r="39" spans="3:33">
      <c r="C39" s="321" t="s">
        <v>1929</v>
      </c>
      <c r="D39" s="154">
        <f>D12</f>
        <v>99950.396825396834</v>
      </c>
      <c r="E39" s="326">
        <f>D39</f>
        <v>99950.396825396834</v>
      </c>
      <c r="F39" s="212">
        <f>E39</f>
        <v>99950.396825396834</v>
      </c>
      <c r="G39" s="328">
        <f>F39</f>
        <v>99950.396825396834</v>
      </c>
      <c r="H39" s="174">
        <f>G39-H38</f>
        <v>75962.301587301597</v>
      </c>
      <c r="I39" s="212">
        <f>H39*D7*E7</f>
        <v>34183.035714285717</v>
      </c>
      <c r="J39" s="210" t="s">
        <v>1932</v>
      </c>
      <c r="K39" s="210"/>
      <c r="L39" s="309" t="s">
        <v>1936</v>
      </c>
      <c r="M39" s="316"/>
      <c r="N39" s="311"/>
      <c r="O39" s="310"/>
      <c r="P39" s="310"/>
      <c r="Q39" s="311"/>
      <c r="R39" s="31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</row>
    <row r="40" spans="3:33">
      <c r="C40" s="321" t="s">
        <v>1652</v>
      </c>
      <c r="D40" s="154">
        <f>D4</f>
        <v>0.6</v>
      </c>
      <c r="E40" s="326">
        <f>F4</f>
        <v>0.66</v>
      </c>
      <c r="F40" s="212">
        <f>F39/F37</f>
        <v>0.45833333333333337</v>
      </c>
      <c r="G40" s="172">
        <f>1-(G37/(G39+G37))</f>
        <v>0.95165204638135648</v>
      </c>
      <c r="H40" s="156">
        <f>F7</f>
        <v>0.76</v>
      </c>
      <c r="I40" s="212">
        <f>F40*G40*H40*D7*E7</f>
        <v>0.14917145827027764</v>
      </c>
      <c r="J40" s="210" t="s">
        <v>1927</v>
      </c>
      <c r="K40" s="210"/>
      <c r="L40" s="308"/>
      <c r="M40" s="318"/>
      <c r="N40" s="310"/>
      <c r="O40" s="311"/>
      <c r="P40" s="311"/>
      <c r="Q40" s="311"/>
      <c r="R40" s="31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</row>
    <row r="41" spans="3:33">
      <c r="C41" s="319"/>
      <c r="D41" s="151"/>
      <c r="E41" s="325"/>
      <c r="F41" s="210"/>
      <c r="G41" s="157"/>
      <c r="H41" s="158"/>
      <c r="I41" s="210"/>
      <c r="J41" s="393"/>
      <c r="K41" s="394"/>
      <c r="L41" s="395"/>
      <c r="M41" s="318"/>
      <c r="N41" s="310"/>
      <c r="O41" s="310"/>
      <c r="P41" s="310"/>
      <c r="Q41" s="311"/>
      <c r="R41" s="31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</row>
    <row r="42" spans="3:33">
      <c r="C42" s="320" t="s">
        <v>1767</v>
      </c>
      <c r="D42" s="151" t="s">
        <v>1741</v>
      </c>
      <c r="E42" s="325" t="s">
        <v>1769</v>
      </c>
      <c r="F42" s="210" t="s">
        <v>1930</v>
      </c>
      <c r="G42" s="157" t="s">
        <v>1743</v>
      </c>
      <c r="H42" s="158" t="s">
        <v>1768</v>
      </c>
      <c r="I42" s="209" t="s">
        <v>1770</v>
      </c>
      <c r="J42" s="396" t="s">
        <v>1938</v>
      </c>
      <c r="K42" s="397"/>
      <c r="L42" s="398"/>
      <c r="M42" s="315"/>
      <c r="N42" s="313"/>
      <c r="O42" s="313"/>
      <c r="P42" s="313"/>
      <c r="Q42" s="313"/>
      <c r="R42" s="313"/>
      <c r="U42" s="331"/>
      <c r="V42" s="331"/>
      <c r="W42" s="331"/>
      <c r="X42" s="331"/>
      <c r="Y42" s="331"/>
      <c r="Z42" s="331"/>
      <c r="AA42" s="331"/>
      <c r="AB42" s="331"/>
      <c r="AC42" s="408"/>
      <c r="AD42" s="408"/>
      <c r="AE42" s="408"/>
      <c r="AF42" s="331"/>
      <c r="AG42" s="331"/>
    </row>
    <row r="43" spans="3:33">
      <c r="C43" s="321" t="s">
        <v>1928</v>
      </c>
      <c r="D43" s="154">
        <f>D45/D46</f>
        <v>166583.99470899472</v>
      </c>
      <c r="E43" s="326">
        <f>(E45/E46)-E45</f>
        <v>34662.932232376683</v>
      </c>
      <c r="F43" s="212">
        <f>D43+E43</f>
        <v>201246.92694137141</v>
      </c>
      <c r="G43" s="155">
        <f>(F10*F19)+(F10*F20)</f>
        <v>10431.028299654638</v>
      </c>
      <c r="H43" s="156">
        <f>G45*(1-H46)</f>
        <v>26467.111312190784</v>
      </c>
      <c r="I43" s="211">
        <f>F43+G43</f>
        <v>211677.95524102604</v>
      </c>
      <c r="J43" s="210" t="s">
        <v>1944</v>
      </c>
      <c r="K43" s="210"/>
      <c r="L43" s="308" t="s">
        <v>1935</v>
      </c>
      <c r="M43" s="316"/>
      <c r="N43" s="311"/>
      <c r="O43" s="310"/>
      <c r="P43" s="310"/>
      <c r="Q43" s="311"/>
      <c r="R43" s="311"/>
      <c r="U43" s="331"/>
      <c r="V43" s="331"/>
      <c r="W43" s="331"/>
      <c r="X43" s="331"/>
      <c r="Y43" s="331"/>
      <c r="Z43" s="331"/>
      <c r="AA43" s="331"/>
      <c r="AB43" s="331"/>
      <c r="AC43" s="408"/>
      <c r="AD43" s="408"/>
      <c r="AE43" s="408"/>
      <c r="AF43" s="331"/>
      <c r="AG43" s="331"/>
    </row>
    <row r="44" spans="3:33" s="265" customFormat="1">
      <c r="C44" s="321" t="s">
        <v>1764</v>
      </c>
      <c r="D44" s="154">
        <f>D43*(1-D46)</f>
        <v>66633.597883597889</v>
      </c>
      <c r="E44" s="326">
        <f>(D45+E43)*(1-E46)</f>
        <v>34662.93223237669</v>
      </c>
      <c r="F44" s="212">
        <f>D44+E44</f>
        <v>101296.53011597457</v>
      </c>
      <c r="G44" s="155">
        <f>G43</f>
        <v>10431.028299654638</v>
      </c>
      <c r="H44" s="156">
        <f>H43</f>
        <v>26467.111312190784</v>
      </c>
      <c r="I44" s="211">
        <f>F44+G44+H44</f>
        <v>138194.66972781997</v>
      </c>
      <c r="J44" s="210" t="s">
        <v>1934</v>
      </c>
      <c r="K44" s="210"/>
      <c r="L44" s="309"/>
      <c r="M44" s="316"/>
      <c r="N44" s="311"/>
      <c r="O44" s="310"/>
      <c r="P44" s="310"/>
      <c r="Q44" s="311"/>
      <c r="R44" s="31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</row>
    <row r="45" spans="3:33">
      <c r="C45" s="321" t="s">
        <v>1929</v>
      </c>
      <c r="D45" s="154">
        <f>D12</f>
        <v>99950.396825396834</v>
      </c>
      <c r="E45" s="326">
        <f>D45</f>
        <v>99950.396825396834</v>
      </c>
      <c r="F45" s="212">
        <f>E45</f>
        <v>99950.396825396834</v>
      </c>
      <c r="G45" s="328">
        <f>F45</f>
        <v>99950.396825396834</v>
      </c>
      <c r="H45" s="156">
        <f>G45-H44</f>
        <v>73483.28551320605</v>
      </c>
      <c r="I45" s="212">
        <f>H45*D7*E7</f>
        <v>33067.478480942722</v>
      </c>
      <c r="J45" s="210" t="s">
        <v>1932</v>
      </c>
      <c r="K45" s="210"/>
      <c r="L45" s="309" t="s">
        <v>1936</v>
      </c>
      <c r="M45" s="316"/>
      <c r="N45" s="311"/>
      <c r="O45" s="310"/>
      <c r="P45" s="310"/>
      <c r="Q45" s="311"/>
      <c r="R45" s="31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</row>
    <row r="46" spans="3:33">
      <c r="C46" s="321" t="s">
        <v>1652</v>
      </c>
      <c r="D46" s="154">
        <f>D4</f>
        <v>0.6</v>
      </c>
      <c r="E46" s="327">
        <f>G4</f>
        <v>0.74249999999999994</v>
      </c>
      <c r="F46" s="211">
        <f>F45/F43</f>
        <v>0.49665551839464883</v>
      </c>
      <c r="G46" s="172">
        <f>1-(G43/(G45+G43))</f>
        <v>0.90550014834617965</v>
      </c>
      <c r="H46" s="174">
        <f>G7</f>
        <v>0.73519753644974384</v>
      </c>
      <c r="I46" s="212">
        <f>F46*G46*H46*D7*E7</f>
        <v>0.14878541066443624</v>
      </c>
      <c r="J46" s="210" t="s">
        <v>1927</v>
      </c>
      <c r="K46" s="210"/>
      <c r="L46" s="308"/>
      <c r="M46" s="318"/>
      <c r="N46" s="310"/>
      <c r="O46" s="311"/>
      <c r="P46" s="311"/>
      <c r="Q46" s="311"/>
      <c r="R46" s="31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</row>
    <row r="47" spans="3:33">
      <c r="C47" s="319"/>
      <c r="D47" s="151"/>
      <c r="E47" s="325"/>
      <c r="F47" s="210"/>
      <c r="G47" s="157"/>
      <c r="H47" s="158"/>
      <c r="I47" s="210"/>
      <c r="J47" s="393"/>
      <c r="K47" s="394"/>
      <c r="L47" s="395"/>
      <c r="M47" s="89"/>
      <c r="N47" s="89"/>
      <c r="O47" s="89"/>
      <c r="P47" s="89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</row>
    <row r="48" spans="3:33">
      <c r="D48" s="89"/>
      <c r="E48" s="149" t="s">
        <v>1941</v>
      </c>
      <c r="F48" s="89"/>
      <c r="G48" s="89"/>
      <c r="H48" s="171" t="s">
        <v>1804</v>
      </c>
      <c r="O48" s="89"/>
      <c r="P48" s="89"/>
      <c r="U48" s="331"/>
      <c r="V48" s="331"/>
      <c r="W48" s="331"/>
      <c r="X48" s="331"/>
      <c r="Y48" s="331"/>
      <c r="Z48" s="331"/>
      <c r="AA48" s="331"/>
      <c r="AB48" s="331"/>
      <c r="AC48" s="408"/>
      <c r="AD48" s="408"/>
      <c r="AE48" s="408"/>
      <c r="AF48" s="331"/>
      <c r="AG48" s="331"/>
    </row>
    <row r="49" spans="2:21">
      <c r="B49" s="347"/>
      <c r="C49" s="332"/>
      <c r="E49" s="303" t="s">
        <v>1942</v>
      </c>
      <c r="H49" s="208" t="s">
        <v>1805</v>
      </c>
      <c r="I49" s="171"/>
      <c r="J49" s="171"/>
      <c r="K49" s="171"/>
      <c r="L49" s="171"/>
      <c r="M49" s="171"/>
    </row>
    <row r="50" spans="2:21" s="263" customFormat="1">
      <c r="E50" s="263" t="s">
        <v>1943</v>
      </c>
      <c r="F50" s="265"/>
      <c r="H50" s="208"/>
      <c r="I50" s="171"/>
      <c r="J50" s="171"/>
      <c r="K50" s="171"/>
      <c r="L50" s="171"/>
      <c r="M50" s="171"/>
    </row>
    <row r="51" spans="2:21" s="263" customFormat="1">
      <c r="F51" s="265"/>
      <c r="H51" s="89" t="s">
        <v>1815</v>
      </c>
      <c r="I51" s="171"/>
      <c r="J51" s="171"/>
      <c r="K51" s="171"/>
      <c r="L51" s="171"/>
      <c r="M51" s="171"/>
    </row>
    <row r="52" spans="2:21">
      <c r="C52" s="399"/>
      <c r="D52" s="399"/>
      <c r="E52" s="399"/>
      <c r="F52" s="399"/>
      <c r="G52" s="399"/>
      <c r="H52" s="399"/>
      <c r="I52" s="310"/>
      <c r="J52" s="310"/>
      <c r="K52" s="310"/>
      <c r="L52" s="310"/>
      <c r="M52" s="310"/>
      <c r="N52" s="310"/>
      <c r="O52" s="310"/>
      <c r="P52" s="310"/>
      <c r="Q52" s="311"/>
      <c r="R52" s="261"/>
    </row>
    <row r="53" spans="2:21">
      <c r="C53" s="366"/>
      <c r="D53" s="365"/>
      <c r="E53" s="365"/>
      <c r="F53" s="365"/>
      <c r="G53" s="365"/>
      <c r="H53" s="365"/>
      <c r="I53" s="311"/>
      <c r="J53" s="310"/>
      <c r="K53" s="310"/>
      <c r="L53" s="310"/>
      <c r="M53" s="310"/>
      <c r="N53" s="310"/>
      <c r="O53" s="310"/>
      <c r="P53" s="310"/>
      <c r="Q53" s="311"/>
      <c r="R53" s="261"/>
    </row>
    <row r="54" spans="2:21">
      <c r="C54" s="310"/>
      <c r="D54" s="310"/>
      <c r="E54" s="310"/>
      <c r="F54" s="310"/>
      <c r="G54" s="310"/>
      <c r="H54" s="367"/>
      <c r="I54" s="311"/>
      <c r="J54" s="310"/>
      <c r="K54" s="310"/>
      <c r="L54" s="310"/>
      <c r="M54" s="310"/>
      <c r="N54" s="310"/>
      <c r="O54" s="310"/>
      <c r="P54" s="310"/>
      <c r="Q54" s="311"/>
      <c r="R54" s="261"/>
    </row>
    <row r="55" spans="2:21">
      <c r="C55" s="311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1"/>
      <c r="R55" s="261"/>
    </row>
    <row r="56" spans="2:21">
      <c r="C56" s="311"/>
      <c r="D56" s="365"/>
      <c r="E56" s="365"/>
      <c r="F56" s="365"/>
      <c r="G56" s="365"/>
      <c r="H56" s="365"/>
      <c r="I56" s="368"/>
      <c r="J56" s="310"/>
      <c r="K56" s="310"/>
      <c r="L56" s="310"/>
      <c r="M56" s="310"/>
      <c r="N56" s="310"/>
      <c r="O56" s="310"/>
      <c r="P56" s="310"/>
      <c r="Q56" s="311"/>
      <c r="R56" s="261"/>
    </row>
    <row r="57" spans="2:21">
      <c r="C57" s="310"/>
      <c r="D57" s="310"/>
      <c r="E57" s="310"/>
      <c r="F57" s="310"/>
      <c r="G57" s="310"/>
      <c r="H57" s="369"/>
      <c r="I57" s="310"/>
      <c r="J57" s="310"/>
      <c r="K57" s="310"/>
      <c r="L57" s="310"/>
      <c r="M57" s="310"/>
      <c r="N57" s="310"/>
      <c r="O57" s="310"/>
      <c r="P57" s="310"/>
      <c r="Q57" s="311"/>
      <c r="R57" s="261"/>
    </row>
    <row r="58" spans="2:21"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1"/>
      <c r="R58" s="261"/>
      <c r="S58" s="261"/>
      <c r="T58" s="261"/>
      <c r="U58" s="261"/>
    </row>
    <row r="59" spans="2:21">
      <c r="C59" s="366"/>
      <c r="D59" s="369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1"/>
      <c r="R59" s="261"/>
      <c r="T59" s="261"/>
      <c r="U59" s="261"/>
    </row>
    <row r="60" spans="2:21"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1"/>
      <c r="R60" s="261"/>
      <c r="T60" s="261"/>
      <c r="U60" s="261"/>
    </row>
    <row r="61" spans="2:21">
      <c r="C61" s="366"/>
      <c r="D61" s="310"/>
      <c r="E61" s="310"/>
      <c r="F61" s="310"/>
      <c r="G61" s="365"/>
      <c r="H61" s="365"/>
      <c r="I61" s="310"/>
      <c r="J61" s="310"/>
      <c r="K61" s="310"/>
      <c r="L61" s="310"/>
      <c r="M61" s="310"/>
      <c r="N61" s="310"/>
      <c r="O61" s="310"/>
      <c r="P61" s="310"/>
      <c r="Q61" s="311"/>
      <c r="R61" s="261"/>
      <c r="T61" s="261"/>
      <c r="U61" s="261"/>
    </row>
    <row r="62" spans="2:21">
      <c r="C62" s="365"/>
      <c r="D62" s="369"/>
      <c r="E62" s="369"/>
      <c r="F62" s="369"/>
      <c r="G62" s="369"/>
      <c r="H62" s="369"/>
      <c r="I62" s="310"/>
      <c r="J62" s="310"/>
      <c r="K62" s="310"/>
      <c r="L62" s="310"/>
      <c r="M62" s="310"/>
      <c r="N62" s="310"/>
      <c r="O62" s="310"/>
      <c r="P62" s="310"/>
      <c r="Q62" s="311"/>
      <c r="R62" s="261"/>
      <c r="T62" s="261"/>
      <c r="U62" s="261"/>
    </row>
    <row r="63" spans="2:21"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1"/>
      <c r="R63" s="261"/>
      <c r="T63" s="261"/>
      <c r="U63" s="261"/>
    </row>
    <row r="64" spans="2:21">
      <c r="C64" s="366"/>
      <c r="D64" s="369"/>
      <c r="E64" s="369"/>
      <c r="F64" s="369"/>
      <c r="G64" s="369"/>
      <c r="H64" s="310"/>
      <c r="I64" s="310"/>
      <c r="J64" s="310"/>
      <c r="K64" s="310"/>
      <c r="L64" s="310"/>
      <c r="M64" s="310"/>
      <c r="N64" s="310"/>
      <c r="O64" s="310"/>
      <c r="P64" s="310"/>
      <c r="Q64" s="311"/>
      <c r="R64" s="261"/>
      <c r="T64" s="261"/>
      <c r="U64" s="261"/>
    </row>
    <row r="65" spans="3:21">
      <c r="C65" s="310"/>
      <c r="D65" s="369"/>
      <c r="E65" s="370"/>
      <c r="F65" s="370"/>
      <c r="G65" s="371"/>
      <c r="H65" s="310"/>
      <c r="I65" s="310"/>
      <c r="J65" s="310"/>
      <c r="K65" s="310"/>
      <c r="L65" s="310"/>
      <c r="M65" s="310"/>
      <c r="N65" s="310"/>
      <c r="O65" s="310"/>
      <c r="P65" s="310"/>
      <c r="Q65" s="311"/>
      <c r="R65" s="261"/>
      <c r="T65" s="261"/>
      <c r="U65" s="261"/>
    </row>
    <row r="66" spans="3:21"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1"/>
      <c r="R66" s="261"/>
      <c r="T66" s="261"/>
      <c r="U66" s="261"/>
    </row>
    <row r="67" spans="3:21">
      <c r="C67" s="310"/>
      <c r="D67" s="399"/>
      <c r="E67" s="399"/>
      <c r="F67" s="313"/>
      <c r="G67" s="399"/>
      <c r="H67" s="399"/>
      <c r="I67" s="399"/>
      <c r="J67" s="399"/>
      <c r="K67" s="399"/>
      <c r="L67" s="400"/>
      <c r="M67" s="400"/>
      <c r="N67" s="400"/>
      <c r="O67" s="400"/>
      <c r="P67" s="400"/>
      <c r="Q67" s="400"/>
      <c r="T67" s="261"/>
      <c r="U67" s="261"/>
    </row>
    <row r="68" spans="3:21">
      <c r="C68" s="366"/>
      <c r="D68" s="310"/>
      <c r="E68" s="310"/>
      <c r="F68" s="310"/>
      <c r="G68" s="311"/>
      <c r="H68" s="365"/>
      <c r="I68" s="310"/>
      <c r="J68" s="310"/>
      <c r="K68" s="310"/>
      <c r="L68" s="399"/>
      <c r="M68" s="399"/>
      <c r="N68" s="399"/>
      <c r="O68" s="399"/>
      <c r="P68" s="399"/>
      <c r="Q68" s="399"/>
      <c r="T68" s="261"/>
      <c r="U68" s="261"/>
    </row>
    <row r="69" spans="3:21">
      <c r="C69" s="365"/>
      <c r="D69" s="369"/>
      <c r="E69" s="369"/>
      <c r="F69" s="369"/>
      <c r="G69" s="369"/>
      <c r="H69" s="330"/>
      <c r="I69" s="310"/>
      <c r="J69" s="310"/>
      <c r="K69" s="310"/>
      <c r="L69" s="330"/>
      <c r="M69" s="310"/>
      <c r="N69" s="310"/>
      <c r="O69" s="310"/>
      <c r="P69" s="311"/>
      <c r="Q69" s="311"/>
      <c r="T69" s="261"/>
      <c r="U69" s="261"/>
    </row>
    <row r="70" spans="3:21">
      <c r="C70" s="365"/>
      <c r="D70" s="369"/>
      <c r="E70" s="369"/>
      <c r="F70" s="369"/>
      <c r="G70" s="369"/>
      <c r="H70" s="369"/>
      <c r="I70" s="310"/>
      <c r="J70" s="310"/>
      <c r="K70" s="311"/>
      <c r="L70" s="369"/>
      <c r="M70" s="311"/>
      <c r="N70" s="310"/>
      <c r="O70" s="310"/>
      <c r="P70" s="311"/>
      <c r="Q70" s="311"/>
      <c r="T70" s="261"/>
      <c r="U70" s="261"/>
    </row>
    <row r="71" spans="3:21">
      <c r="C71" s="365"/>
      <c r="D71" s="330"/>
      <c r="E71" s="330"/>
      <c r="F71" s="330"/>
      <c r="G71" s="369"/>
      <c r="H71" s="369"/>
      <c r="I71" s="310"/>
      <c r="J71" s="310"/>
      <c r="K71" s="310"/>
      <c r="L71" s="311"/>
      <c r="M71" s="310"/>
      <c r="N71" s="311"/>
      <c r="O71" s="311"/>
      <c r="P71" s="311"/>
      <c r="Q71" s="311"/>
      <c r="T71" s="261"/>
      <c r="U71" s="261"/>
    </row>
    <row r="72" spans="3:21">
      <c r="C72" s="310"/>
      <c r="D72" s="310"/>
      <c r="E72" s="310"/>
      <c r="F72" s="310"/>
      <c r="G72" s="310"/>
      <c r="H72" s="310"/>
      <c r="I72" s="330"/>
      <c r="J72" s="372"/>
      <c r="K72" s="310"/>
      <c r="L72" s="311"/>
      <c r="M72" s="310"/>
      <c r="N72" s="310"/>
      <c r="O72" s="310"/>
      <c r="P72" s="311"/>
      <c r="Q72" s="311"/>
      <c r="T72" s="261"/>
      <c r="U72" s="261"/>
    </row>
    <row r="73" spans="3:21">
      <c r="C73" s="366"/>
      <c r="D73" s="310"/>
      <c r="E73" s="310"/>
      <c r="F73" s="310"/>
      <c r="G73" s="365"/>
      <c r="H73" s="365"/>
      <c r="I73" s="310"/>
      <c r="J73" s="310"/>
      <c r="K73" s="310"/>
      <c r="L73" s="399"/>
      <c r="M73" s="399"/>
      <c r="N73" s="399"/>
      <c r="O73" s="399"/>
      <c r="P73" s="399"/>
      <c r="Q73" s="399"/>
      <c r="T73" s="261"/>
      <c r="U73" s="261"/>
    </row>
    <row r="74" spans="3:21">
      <c r="C74" s="311"/>
      <c r="D74" s="369"/>
      <c r="E74" s="369"/>
      <c r="F74" s="369"/>
      <c r="G74" s="369"/>
      <c r="H74" s="369"/>
      <c r="I74" s="311"/>
      <c r="J74" s="310"/>
      <c r="K74" s="310"/>
      <c r="L74" s="330"/>
      <c r="M74" s="311"/>
      <c r="N74" s="310"/>
      <c r="O74" s="310"/>
      <c r="P74" s="311"/>
      <c r="Q74" s="311"/>
      <c r="T74" s="261"/>
      <c r="U74" s="261"/>
    </row>
    <row r="75" spans="3:21">
      <c r="C75" s="311"/>
      <c r="D75" s="369"/>
      <c r="E75" s="369"/>
      <c r="F75" s="369"/>
      <c r="G75" s="369"/>
      <c r="H75" s="369"/>
      <c r="I75" s="310"/>
      <c r="J75" s="310"/>
      <c r="K75" s="311"/>
      <c r="L75" s="330"/>
      <c r="M75" s="311"/>
      <c r="N75" s="310"/>
      <c r="O75" s="310"/>
      <c r="P75" s="311"/>
      <c r="Q75" s="311"/>
      <c r="T75" s="261"/>
      <c r="U75" s="261"/>
    </row>
    <row r="76" spans="3:21">
      <c r="C76" s="311"/>
      <c r="D76" s="369"/>
      <c r="E76" s="369"/>
      <c r="F76" s="369"/>
      <c r="G76" s="369"/>
      <c r="H76" s="369"/>
      <c r="I76" s="310"/>
      <c r="J76" s="310"/>
      <c r="K76" s="310"/>
      <c r="L76" s="311"/>
      <c r="M76" s="310"/>
      <c r="N76" s="311"/>
      <c r="O76" s="311"/>
      <c r="P76" s="311"/>
      <c r="Q76" s="311"/>
      <c r="T76" s="261"/>
      <c r="U76" s="261"/>
    </row>
    <row r="77" spans="3:21">
      <c r="C77" s="310"/>
      <c r="D77" s="310"/>
      <c r="E77" s="310"/>
      <c r="F77" s="310"/>
      <c r="G77" s="310"/>
      <c r="H77" s="310"/>
      <c r="I77" s="330"/>
      <c r="J77" s="372"/>
      <c r="K77" s="310"/>
      <c r="L77" s="311"/>
      <c r="M77" s="310"/>
      <c r="N77" s="310"/>
      <c r="O77" s="310"/>
      <c r="P77" s="311"/>
      <c r="Q77" s="311"/>
      <c r="T77" s="261"/>
      <c r="U77" s="261"/>
    </row>
    <row r="78" spans="3:21">
      <c r="C78" s="366"/>
      <c r="D78" s="310"/>
      <c r="E78" s="310"/>
      <c r="F78" s="310"/>
      <c r="G78" s="310"/>
      <c r="H78" s="311"/>
      <c r="I78" s="310"/>
      <c r="J78" s="310"/>
      <c r="K78" s="310"/>
      <c r="L78" s="399"/>
      <c r="M78" s="399"/>
      <c r="N78" s="399"/>
      <c r="O78" s="399"/>
      <c r="P78" s="399"/>
      <c r="Q78" s="399"/>
      <c r="T78" s="261"/>
      <c r="U78" s="261"/>
    </row>
    <row r="79" spans="3:21">
      <c r="C79" s="311"/>
      <c r="D79" s="369"/>
      <c r="E79" s="369"/>
      <c r="F79" s="369"/>
      <c r="G79" s="369"/>
      <c r="H79" s="330"/>
      <c r="I79" s="310"/>
      <c r="J79" s="310"/>
      <c r="K79" s="310"/>
      <c r="L79" s="330"/>
      <c r="M79" s="311"/>
      <c r="N79" s="310"/>
      <c r="O79" s="310"/>
      <c r="P79" s="311"/>
      <c r="Q79" s="311"/>
      <c r="T79" s="261"/>
      <c r="U79" s="261"/>
    </row>
    <row r="80" spans="3:21">
      <c r="C80" s="311"/>
      <c r="D80" s="369"/>
      <c r="E80" s="369"/>
      <c r="F80" s="369"/>
      <c r="G80" s="369"/>
      <c r="H80" s="369"/>
      <c r="I80" s="310"/>
      <c r="J80" s="310"/>
      <c r="K80" s="311"/>
      <c r="L80" s="330"/>
      <c r="M80" s="311"/>
      <c r="N80" s="310"/>
      <c r="O80" s="310"/>
      <c r="P80" s="311"/>
      <c r="Q80" s="311"/>
      <c r="T80" s="261"/>
      <c r="U80" s="261"/>
    </row>
    <row r="81" spans="3:21">
      <c r="C81" s="311"/>
      <c r="D81" s="330"/>
      <c r="E81" s="330"/>
      <c r="F81" s="330"/>
      <c r="G81" s="330"/>
      <c r="H81" s="369"/>
      <c r="I81" s="310"/>
      <c r="J81" s="310"/>
      <c r="K81" s="310"/>
      <c r="L81" s="311"/>
      <c r="M81" s="310"/>
      <c r="N81" s="311"/>
      <c r="O81" s="311"/>
      <c r="P81" s="311"/>
      <c r="Q81" s="311"/>
      <c r="T81" s="261"/>
      <c r="U81" s="261"/>
    </row>
    <row r="82" spans="3:21">
      <c r="C82" s="310"/>
      <c r="D82" s="310"/>
      <c r="E82" s="310"/>
      <c r="F82" s="310"/>
      <c r="G82" s="310"/>
      <c r="H82" s="310"/>
      <c r="I82" s="369"/>
      <c r="J82" s="372"/>
      <c r="K82" s="310"/>
      <c r="L82" s="310"/>
      <c r="M82" s="310"/>
      <c r="N82" s="310"/>
      <c r="O82" s="310"/>
      <c r="P82" s="311"/>
      <c r="Q82" s="311"/>
      <c r="T82" s="261"/>
      <c r="U82" s="261"/>
    </row>
    <row r="83" spans="3:21">
      <c r="C83" s="311"/>
      <c r="D83" s="310"/>
      <c r="E83" s="310"/>
      <c r="F83" s="310"/>
      <c r="G83" s="373"/>
      <c r="H83" s="311"/>
      <c r="I83" s="311"/>
      <c r="J83" s="311"/>
      <c r="K83" s="311"/>
      <c r="L83" s="311"/>
      <c r="M83" s="310"/>
      <c r="N83" s="310"/>
      <c r="O83" s="310"/>
      <c r="P83" s="311"/>
      <c r="Q83" s="311"/>
      <c r="T83" s="261"/>
      <c r="U83" s="261"/>
    </row>
    <row r="84" spans="3:21">
      <c r="C84" s="311"/>
      <c r="D84" s="311"/>
      <c r="E84" s="311"/>
      <c r="F84" s="311"/>
      <c r="G84" s="311"/>
      <c r="H84" s="365"/>
      <c r="I84" s="373"/>
      <c r="J84" s="373"/>
      <c r="K84" s="373"/>
      <c r="L84" s="373"/>
      <c r="M84" s="373"/>
      <c r="N84" s="311"/>
      <c r="O84" s="311"/>
      <c r="P84" s="311"/>
      <c r="Q84" s="311"/>
      <c r="R84" s="261"/>
      <c r="T84" s="261"/>
      <c r="U84" s="261"/>
    </row>
    <row r="85" spans="3:21">
      <c r="C85" s="261"/>
      <c r="T85" s="261"/>
      <c r="U85" s="261"/>
    </row>
    <row r="86" spans="3:21">
      <c r="C86" s="261"/>
      <c r="T86" s="261"/>
      <c r="U86" s="261"/>
    </row>
    <row r="87" spans="3:21">
      <c r="C87" s="261"/>
      <c r="T87" s="261"/>
      <c r="U87" s="261"/>
    </row>
    <row r="88" spans="3:21">
      <c r="T88" s="261"/>
      <c r="U88" s="261"/>
    </row>
    <row r="89" spans="3:21">
      <c r="T89" s="261"/>
      <c r="U89" s="261"/>
    </row>
    <row r="90" spans="3:21">
      <c r="T90" s="261"/>
      <c r="U90" s="261"/>
    </row>
    <row r="91" spans="3:21">
      <c r="T91" s="261"/>
      <c r="U91" s="261"/>
    </row>
    <row r="92" spans="3:21">
      <c r="T92" s="261"/>
      <c r="U92" s="261"/>
    </row>
    <row r="93" spans="3:21">
      <c r="T93" s="261"/>
      <c r="U93" s="261"/>
    </row>
    <row r="94" spans="3:21">
      <c r="T94" s="261"/>
      <c r="U94" s="261"/>
    </row>
    <row r="95" spans="3:21">
      <c r="S95" s="261"/>
      <c r="T95" s="261"/>
      <c r="U95" s="261"/>
    </row>
    <row r="96" spans="3:21">
      <c r="S96" s="261"/>
      <c r="T96" s="261"/>
      <c r="U96" s="261"/>
    </row>
    <row r="97" spans="19:21">
      <c r="S97" s="261"/>
      <c r="T97" s="261"/>
      <c r="U97" s="261"/>
    </row>
    <row r="98" spans="19:21">
      <c r="S98" s="261"/>
      <c r="T98" s="261"/>
      <c r="U98" s="261"/>
    </row>
    <row r="99" spans="19:21">
      <c r="S99" s="261"/>
      <c r="T99" s="261"/>
      <c r="U99" s="261"/>
    </row>
  </sheetData>
  <mergeCells count="27">
    <mergeCell ref="O29:P29"/>
    <mergeCell ref="O26:Q26"/>
    <mergeCell ref="N23:R23"/>
    <mergeCell ref="AC42:AE42"/>
    <mergeCell ref="AC43:AE43"/>
    <mergeCell ref="AC48:AE48"/>
    <mergeCell ref="W30:X30"/>
    <mergeCell ref="AB30:AE30"/>
    <mergeCell ref="AC31:AE31"/>
    <mergeCell ref="AC36:AE36"/>
    <mergeCell ref="AC37:AE37"/>
    <mergeCell ref="J41:L41"/>
    <mergeCell ref="D29:E29"/>
    <mergeCell ref="C2:H2"/>
    <mergeCell ref="J30:L30"/>
    <mergeCell ref="J36:L36"/>
    <mergeCell ref="I29:L29"/>
    <mergeCell ref="J35:L35"/>
    <mergeCell ref="J47:L47"/>
    <mergeCell ref="J42:L42"/>
    <mergeCell ref="L78:Q78"/>
    <mergeCell ref="C52:H52"/>
    <mergeCell ref="D67:E67"/>
    <mergeCell ref="G67:K67"/>
    <mergeCell ref="L67:Q67"/>
    <mergeCell ref="L68:Q68"/>
    <mergeCell ref="L73:Q7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45ACA-9061-4FE5-8DEC-72D566E509CF}">
  <dimension ref="A1:Q114"/>
  <sheetViews>
    <sheetView topLeftCell="A49" zoomScale="70" zoomScaleNormal="70" workbookViewId="0">
      <selection activeCell="E75" sqref="E75"/>
    </sheetView>
  </sheetViews>
  <sheetFormatPr baseColWidth="10" defaultColWidth="11.42578125" defaultRowHeight="15"/>
  <cols>
    <col min="1" max="1" width="15" style="218" customWidth="1"/>
    <col min="2" max="2" width="26.28515625" style="218" customWidth="1"/>
    <col min="3" max="3" width="11.42578125" style="218"/>
    <col min="4" max="4" width="43.42578125" style="218" customWidth="1"/>
    <col min="5" max="5" width="16.5703125" style="218" customWidth="1"/>
    <col min="6" max="6" width="12.7109375" style="218" customWidth="1"/>
    <col min="7" max="7" width="14.85546875" style="218" customWidth="1"/>
    <col min="8" max="8" width="19.28515625" style="218" customWidth="1"/>
    <col min="9" max="9" width="22.7109375" style="218" customWidth="1"/>
    <col min="10" max="10" width="16.85546875" style="218" customWidth="1"/>
    <col min="11" max="11" width="18.140625" style="218" customWidth="1"/>
    <col min="12" max="12" width="18.28515625" style="218" customWidth="1"/>
    <col min="13" max="13" width="26.7109375" style="218" customWidth="1"/>
    <col min="14" max="14" width="25" style="218" customWidth="1"/>
    <col min="15" max="15" width="17.85546875" style="218" customWidth="1"/>
    <col min="16" max="16384" width="11.42578125" style="218"/>
  </cols>
  <sheetData>
    <row r="1" spans="1:14" ht="14.25" customHeight="1">
      <c r="A1" s="440" t="s">
        <v>1726</v>
      </c>
      <c r="B1" s="440"/>
      <c r="C1" s="440"/>
    </row>
    <row r="2" spans="1:14" ht="14.25" customHeight="1" thickBot="1">
      <c r="A2" s="219" t="s">
        <v>1620</v>
      </c>
      <c r="B2" s="439" t="s">
        <v>1727</v>
      </c>
      <c r="C2" s="439"/>
    </row>
    <row r="3" spans="1:14" ht="14.25" customHeight="1" thickBot="1">
      <c r="A3" s="220" t="s">
        <v>1620</v>
      </c>
      <c r="B3" s="439" t="s">
        <v>1619</v>
      </c>
      <c r="C3" s="439"/>
    </row>
    <row r="4" spans="1:14" ht="15" customHeight="1">
      <c r="A4" s="148"/>
      <c r="B4" s="439"/>
      <c r="C4" s="439"/>
      <c r="D4" s="426" t="s">
        <v>1704</v>
      </c>
      <c r="E4" s="427"/>
      <c r="F4" s="427"/>
      <c r="G4" s="427"/>
      <c r="H4" s="428"/>
      <c r="I4" s="148"/>
      <c r="J4" s="443" t="s">
        <v>1837</v>
      </c>
      <c r="K4" s="444"/>
      <c r="L4" s="444"/>
      <c r="M4" s="445"/>
    </row>
    <row r="5" spans="1:14">
      <c r="A5" s="148"/>
      <c r="B5" s="439"/>
      <c r="C5" s="439"/>
      <c r="D5" s="221"/>
      <c r="E5" s="202" t="s">
        <v>1700</v>
      </c>
      <c r="F5" s="202" t="s">
        <v>1701</v>
      </c>
      <c r="G5" s="202" t="s">
        <v>1702</v>
      </c>
      <c r="H5" s="203" t="s">
        <v>1703</v>
      </c>
      <c r="I5" s="148"/>
      <c r="J5" s="446"/>
      <c r="K5" s="447"/>
      <c r="L5" s="253" t="s">
        <v>1823</v>
      </c>
      <c r="M5" s="254" t="s">
        <v>1824</v>
      </c>
      <c r="N5" s="247"/>
    </row>
    <row r="6" spans="1:14" ht="15" customHeight="1">
      <c r="A6" s="148" t="s">
        <v>1718</v>
      </c>
      <c r="B6" s="148">
        <f>B7/100</f>
        <v>0.04</v>
      </c>
      <c r="D6" s="222" t="s">
        <v>1709</v>
      </c>
      <c r="E6" s="223">
        <f>900</f>
        <v>900</v>
      </c>
      <c r="F6" s="223">
        <f>1100</f>
        <v>1100</v>
      </c>
      <c r="G6" s="223">
        <f>1570</f>
        <v>1570</v>
      </c>
      <c r="H6" s="224">
        <f>2310</f>
        <v>2310</v>
      </c>
      <c r="I6" s="148"/>
      <c r="J6" s="441" t="s">
        <v>1820</v>
      </c>
      <c r="K6" s="442"/>
      <c r="L6" s="253">
        <f>(G20/365)/'Supply chains'!F12</f>
        <v>2.5224773112962651</v>
      </c>
      <c r="M6" s="254">
        <v>3</v>
      </c>
      <c r="N6" s="247"/>
    </row>
    <row r="7" spans="1:14" ht="15" customHeight="1">
      <c r="A7" s="148" t="s">
        <v>1719</v>
      </c>
      <c r="B7" s="148">
        <f>4</f>
        <v>4</v>
      </c>
      <c r="D7" s="112" t="s">
        <v>1710</v>
      </c>
      <c r="E7" s="226">
        <f>680</f>
        <v>680</v>
      </c>
      <c r="F7" s="226">
        <f>930</f>
        <v>930</v>
      </c>
      <c r="G7" s="226">
        <f>530</f>
        <v>530</v>
      </c>
      <c r="H7" s="227">
        <f>780</f>
        <v>780</v>
      </c>
      <c r="I7" s="148"/>
      <c r="J7" s="441" t="s">
        <v>1825</v>
      </c>
      <c r="K7" s="442"/>
      <c r="L7" s="253">
        <f>(2*'Supply chains'!F26)+L8</f>
        <v>35.333333333333336</v>
      </c>
      <c r="M7" s="254"/>
      <c r="N7" s="247"/>
    </row>
    <row r="8" spans="1:14" ht="15" customHeight="1">
      <c r="A8" s="148" t="s">
        <v>1732</v>
      </c>
      <c r="B8" s="148">
        <f>1/10.04</f>
        <v>9.9601593625498017E-2</v>
      </c>
      <c r="D8" s="112" t="s">
        <v>1711</v>
      </c>
      <c r="E8" s="226">
        <v>13</v>
      </c>
      <c r="F8" s="226">
        <v>32</v>
      </c>
      <c r="G8" s="226">
        <v>6</v>
      </c>
      <c r="H8" s="227">
        <v>10</v>
      </c>
      <c r="I8" s="148"/>
      <c r="J8" s="441" t="s">
        <v>1657</v>
      </c>
      <c r="K8" s="442"/>
      <c r="L8" s="253">
        <v>2</v>
      </c>
      <c r="M8" s="254"/>
      <c r="N8" s="247"/>
    </row>
    <row r="9" spans="1:14" ht="15" customHeight="1">
      <c r="D9" s="112" t="s">
        <v>1712</v>
      </c>
      <c r="E9" s="223"/>
      <c r="F9" s="223"/>
      <c r="G9" s="223"/>
      <c r="H9" s="224"/>
      <c r="I9" s="148"/>
      <c r="J9" s="441" t="s">
        <v>1821</v>
      </c>
      <c r="K9" s="442"/>
      <c r="L9" s="253">
        <f>24/L7</f>
        <v>0.67924528301886788</v>
      </c>
      <c r="M9" s="254"/>
      <c r="N9" s="247"/>
    </row>
    <row r="10" spans="1:14" ht="15" customHeight="1">
      <c r="D10" s="222" t="s">
        <v>1725</v>
      </c>
      <c r="E10" s="223">
        <v>10</v>
      </c>
      <c r="F10" s="223">
        <v>10</v>
      </c>
      <c r="G10" s="223">
        <v>10</v>
      </c>
      <c r="H10" s="224">
        <v>10</v>
      </c>
      <c r="I10" s="148"/>
      <c r="J10" s="441" t="s">
        <v>1822</v>
      </c>
      <c r="K10" s="442"/>
      <c r="L10" s="253">
        <f>M6/(L9*J40)</f>
        <v>5.520833333333333</v>
      </c>
      <c r="M10" s="254">
        <v>6</v>
      </c>
      <c r="N10" s="247"/>
    </row>
    <row r="11" spans="1:14" ht="15" customHeight="1" thickBot="1">
      <c r="D11" s="228" t="s">
        <v>1652</v>
      </c>
      <c r="E11" s="229">
        <f>0.7</f>
        <v>0.7</v>
      </c>
      <c r="F11" s="229">
        <f>0.6</f>
        <v>0.6</v>
      </c>
      <c r="G11" s="229">
        <f>0.7</f>
        <v>0.7</v>
      </c>
      <c r="H11" s="230">
        <v>0.6</v>
      </c>
      <c r="J11" s="441" t="s">
        <v>1831</v>
      </c>
      <c r="K11" s="442"/>
      <c r="L11" s="253">
        <f>((2*'Supply chains'!D10/'Supply chains'!F12)*G20)/M10</f>
        <v>306901.40620771225</v>
      </c>
      <c r="M11" s="254"/>
      <c r="N11" s="247"/>
    </row>
    <row r="12" spans="1:14" ht="15" customHeight="1" thickBot="1">
      <c r="J12" s="448" t="s">
        <v>1862</v>
      </c>
      <c r="K12" s="449"/>
      <c r="L12" s="232">
        <f>1.575</f>
        <v>1.575</v>
      </c>
      <c r="M12" s="255"/>
      <c r="N12" s="247"/>
    </row>
    <row r="13" spans="1:14" ht="15" customHeight="1">
      <c r="D13" s="423" t="s">
        <v>1705</v>
      </c>
      <c r="E13" s="424"/>
      <c r="F13" s="424"/>
      <c r="G13" s="424"/>
      <c r="H13" s="425"/>
      <c r="J13" s="418"/>
      <c r="K13" s="418"/>
      <c r="M13" s="247"/>
      <c r="N13" s="247"/>
    </row>
    <row r="14" spans="1:14" ht="15" customHeight="1">
      <c r="D14" s="437"/>
      <c r="E14" s="438"/>
      <c r="F14" s="438"/>
      <c r="G14" s="202" t="s">
        <v>1706</v>
      </c>
      <c r="H14" s="203" t="s">
        <v>1707</v>
      </c>
      <c r="J14" s="418"/>
      <c r="K14" s="418"/>
      <c r="M14" s="247"/>
      <c r="N14" s="247"/>
    </row>
    <row r="15" spans="1:14" ht="15" customHeight="1">
      <c r="D15" s="435" t="s">
        <v>1713</v>
      </c>
      <c r="E15" s="436"/>
      <c r="F15" s="436"/>
      <c r="G15" s="223">
        <f>(0.32+0.02)*B8</f>
        <v>3.3864541832669327E-2</v>
      </c>
      <c r="H15" s="224">
        <f>(0.32+0.02)*B8</f>
        <v>3.3864541832669327E-2</v>
      </c>
      <c r="J15" s="418"/>
      <c r="K15" s="418"/>
      <c r="M15" s="247"/>
      <c r="N15" s="247"/>
    </row>
    <row r="16" spans="1:14" ht="15" customHeight="1" thickBot="1">
      <c r="D16" s="432" t="s">
        <v>1714</v>
      </c>
      <c r="E16" s="433"/>
      <c r="F16" s="433"/>
      <c r="G16" s="229">
        <f>(0.36+(0.02*1.2))*B8</f>
        <v>3.824701195219124E-2</v>
      </c>
      <c r="H16" s="230">
        <f>(0.36+(0.02*1.2))*B8</f>
        <v>3.824701195219124E-2</v>
      </c>
      <c r="M16" s="247"/>
      <c r="N16" s="247"/>
    </row>
    <row r="17" spans="4:14" ht="15" customHeight="1" thickBot="1">
      <c r="D17" s="418"/>
      <c r="E17" s="418"/>
      <c r="M17" s="247"/>
      <c r="N17" s="247"/>
    </row>
    <row r="18" spans="4:14" ht="15" customHeight="1">
      <c r="D18" s="423" t="s">
        <v>1708</v>
      </c>
      <c r="E18" s="424"/>
      <c r="F18" s="424"/>
      <c r="G18" s="424"/>
      <c r="H18" s="425"/>
      <c r="M18" s="247"/>
      <c r="N18" s="247"/>
    </row>
    <row r="19" spans="4:14" ht="15" customHeight="1">
      <c r="D19" s="429" t="s">
        <v>1715</v>
      </c>
      <c r="E19" s="430"/>
      <c r="F19" s="430"/>
      <c r="G19" s="144">
        <f>((G20*'Thermodynamic data'!B10)/G21)/E11</f>
        <v>16432.991430392758</v>
      </c>
      <c r="H19" s="145">
        <f>((G20*'Thermodynamic data'!B10)/G21)/F11</f>
        <v>19171.823335458219</v>
      </c>
      <c r="M19" s="247"/>
      <c r="N19" s="247"/>
    </row>
    <row r="20" spans="4:14" ht="15" customHeight="1">
      <c r="D20" s="429" t="s">
        <v>1716</v>
      </c>
      <c r="E20" s="430"/>
      <c r="F20" s="430"/>
      <c r="G20" s="430">
        <f>(8000/('Case MV Rubin'!D24+'Case MV Rubin'!E24))*(1/'Supply chains'!D7)*('Case MV Rubin'!D20+'Case MV Rubin'!E20+'Case MV Rubin'!F20)*(1/'Thermodynamic data'!B10)*5</f>
        <v>2762112.6558694104</v>
      </c>
      <c r="H20" s="431"/>
      <c r="M20" s="247"/>
      <c r="N20" s="247"/>
    </row>
    <row r="21" spans="4:14" ht="15" customHeight="1" thickBot="1">
      <c r="D21" s="432" t="s">
        <v>1717</v>
      </c>
      <c r="E21" s="433"/>
      <c r="F21" s="433"/>
      <c r="G21" s="433">
        <v>8000</v>
      </c>
      <c r="H21" s="434"/>
    </row>
    <row r="22" spans="4:14" ht="15" customHeight="1" thickBot="1"/>
    <row r="23" spans="4:14" ht="15" customHeight="1">
      <c r="D23" s="426" t="s">
        <v>1728</v>
      </c>
      <c r="E23" s="427"/>
      <c r="F23" s="427"/>
      <c r="G23" s="427"/>
      <c r="H23" s="427"/>
      <c r="I23" s="427"/>
      <c r="J23" s="427"/>
      <c r="K23" s="427"/>
      <c r="L23" s="428"/>
    </row>
    <row r="24" spans="4:14" ht="15" customHeight="1">
      <c r="D24" s="201"/>
      <c r="E24" s="202" t="s">
        <v>1700</v>
      </c>
      <c r="F24" s="202" t="s">
        <v>1701</v>
      </c>
      <c r="G24" s="202" t="s">
        <v>1702</v>
      </c>
      <c r="H24" s="202" t="s">
        <v>1703</v>
      </c>
      <c r="I24" s="202" t="s">
        <v>1721</v>
      </c>
      <c r="J24" s="202" t="s">
        <v>1722</v>
      </c>
      <c r="K24" s="202" t="s">
        <v>1723</v>
      </c>
      <c r="L24" s="203" t="s">
        <v>1724</v>
      </c>
    </row>
    <row r="25" spans="4:14" ht="15" customHeight="1">
      <c r="D25" s="201" t="s">
        <v>1729</v>
      </c>
      <c r="E25" s="202">
        <f>(G19*G21*G15)/G20</f>
        <v>1.6117973307074054</v>
      </c>
      <c r="F25" s="202">
        <f>(H19*G21*H15)/G20</f>
        <v>1.8804302191586393</v>
      </c>
      <c r="G25" s="202">
        <f>(G19*G21*G15)/G20</f>
        <v>1.6117973307074054</v>
      </c>
      <c r="H25" s="202">
        <f>(H19*G21*H15)/G20</f>
        <v>1.8804302191586393</v>
      </c>
      <c r="I25" s="202">
        <f>(G19*G21*G16)/G20</f>
        <v>1.8203828676224811</v>
      </c>
      <c r="J25" s="202">
        <f>(H19*G21*H16)/G20</f>
        <v>2.123780012226228</v>
      </c>
      <c r="K25" s="202">
        <f>(G19*G21*G16)/G20</f>
        <v>1.8203828676224811</v>
      </c>
      <c r="L25" s="203">
        <f>(H19*G21*H16)/G20</f>
        <v>2.123780012226228</v>
      </c>
    </row>
    <row r="26" spans="4:14" ht="15" customHeight="1">
      <c r="D26" s="201" t="s">
        <v>1730</v>
      </c>
      <c r="E26" s="202">
        <f>((G19*E8)+(E6*G19)*((B6*((1+B6)^E10))/(((1+B6)^E10)-1)))/G20</f>
        <v>0.73750214812069625</v>
      </c>
      <c r="F26" s="202">
        <f>((F8*H19)+(F6*H19)*((B6*((1+B6)^F10))/(((1+B6)^F10)-1)))/G20</f>
        <v>1.1634506521017534</v>
      </c>
      <c r="G26" s="202">
        <f>((G8*G19)+(G6*G19)*((B6*((1+B6)^G10))/(((1+B6)^G10)-1)))/G20</f>
        <v>1.1873082805874522</v>
      </c>
      <c r="H26" s="202">
        <f>((H8*H19)+(H6*H19)*((B6*((1+B6)^H10))/(((1+B6)^H10)-1)))/G20</f>
        <v>2.0462211820239111</v>
      </c>
      <c r="I26" s="202">
        <f>((G19*E8)+(E7*G19)*((B6*((1+B6)^E10))/(((1+B6)^E10)-1)))/G20</f>
        <v>0.57612980655102308</v>
      </c>
      <c r="J26" s="202">
        <f>((F8*H19)+(F7*H19)*((B6*((1+B6)^F10))/(((1+B6)^F10)-1)))/G20</f>
        <v>1.0179710411412146</v>
      </c>
      <c r="K26" s="202">
        <f>((G8*G19)+(G7*G19)*((B6*((1+B6)^G10))/(((1+B6)^G10)-1)))/G20</f>
        <v>0.42445721134899728</v>
      </c>
      <c r="L26" s="203">
        <f>((H8*H19)+(H7*H19)*((B6*((1+B6)^H10))/(((1+B6)^H10)-1)))/G20</f>
        <v>0.73690468337906267</v>
      </c>
    </row>
    <row r="27" spans="4:14" ht="15" customHeight="1" thickBot="1">
      <c r="D27" s="140" t="s">
        <v>1731</v>
      </c>
      <c r="E27" s="141">
        <f>SUM(E25:E26)</f>
        <v>2.3492994788281019</v>
      </c>
      <c r="F27" s="141">
        <f t="shared" ref="F27:L27" si="0">SUM(F25:F26)</f>
        <v>3.0438808712603924</v>
      </c>
      <c r="G27" s="141">
        <f t="shared" si="0"/>
        <v>2.7991056112948574</v>
      </c>
      <c r="H27" s="141">
        <f t="shared" si="0"/>
        <v>3.9266514011825504</v>
      </c>
      <c r="I27" s="141">
        <f t="shared" si="0"/>
        <v>2.3965126741735041</v>
      </c>
      <c r="J27" s="141">
        <f t="shared" si="0"/>
        <v>3.1417510533674426</v>
      </c>
      <c r="K27" s="141">
        <f t="shared" si="0"/>
        <v>2.2448400789714782</v>
      </c>
      <c r="L27" s="142">
        <f t="shared" si="0"/>
        <v>2.8606846956052907</v>
      </c>
    </row>
    <row r="28" spans="4:14" ht="15" customHeight="1">
      <c r="D28" s="148"/>
    </row>
    <row r="29" spans="4:14" ht="15" customHeight="1">
      <c r="D29" s="148"/>
    </row>
    <row r="30" spans="4:14" ht="15" customHeight="1"/>
    <row r="31" spans="4:14" ht="15" customHeight="1" thickBot="1"/>
    <row r="32" spans="4:14" ht="15" customHeight="1">
      <c r="I32" s="239"/>
      <c r="J32" s="240" t="s">
        <v>1819</v>
      </c>
      <c r="K32" s="241" t="s">
        <v>1818</v>
      </c>
      <c r="L32" s="242" t="s">
        <v>1841</v>
      </c>
      <c r="M32" s="243" t="s">
        <v>1842</v>
      </c>
    </row>
    <row r="33" spans="4:14" ht="15" customHeight="1">
      <c r="I33" s="244" t="s">
        <v>1838</v>
      </c>
      <c r="J33" s="208">
        <v>180000</v>
      </c>
      <c r="K33" s="208">
        <v>95000</v>
      </c>
      <c r="L33" s="245">
        <v>725000</v>
      </c>
      <c r="M33" s="225">
        <v>119696</v>
      </c>
    </row>
    <row r="34" spans="4:14" ht="15" customHeight="1">
      <c r="I34" s="244" t="s">
        <v>1839</v>
      </c>
      <c r="J34" s="208">
        <v>8</v>
      </c>
      <c r="K34" s="208">
        <v>15</v>
      </c>
      <c r="L34" s="208">
        <v>15</v>
      </c>
      <c r="M34" s="246">
        <v>15</v>
      </c>
    </row>
    <row r="35" spans="4:14" ht="15" customHeight="1">
      <c r="I35" s="244" t="s">
        <v>1827</v>
      </c>
      <c r="J35" s="208"/>
      <c r="K35" s="208">
        <v>0.04</v>
      </c>
      <c r="L35" s="208">
        <v>0.04</v>
      </c>
      <c r="M35" s="246">
        <v>0.04</v>
      </c>
    </row>
    <row r="36" spans="4:14" ht="15" customHeight="1">
      <c r="I36" s="244" t="s">
        <v>1826</v>
      </c>
      <c r="J36" s="208">
        <v>0.1</v>
      </c>
      <c r="K36" s="208"/>
      <c r="L36" s="208"/>
      <c r="M36" s="246"/>
    </row>
    <row r="37" spans="4:14" ht="15" customHeight="1">
      <c r="I37" s="244" t="s">
        <v>1830</v>
      </c>
      <c r="J37" s="208">
        <v>3.1068600000000002</v>
      </c>
      <c r="K37" s="208"/>
      <c r="L37" s="208"/>
      <c r="M37" s="246"/>
    </row>
    <row r="38" spans="4:14" ht="15" customHeight="1">
      <c r="I38" s="244" t="s">
        <v>1840</v>
      </c>
      <c r="J38" s="208">
        <v>1.21</v>
      </c>
      <c r="K38" s="208"/>
      <c r="L38" s="208"/>
      <c r="M38" s="246"/>
    </row>
    <row r="39" spans="4:14" ht="15" customHeight="1">
      <c r="I39" s="244" t="s">
        <v>1828</v>
      </c>
      <c r="J39" s="208">
        <v>27.16</v>
      </c>
      <c r="K39" s="208"/>
      <c r="L39" s="208"/>
      <c r="M39" s="246"/>
    </row>
    <row r="40" spans="4:14" ht="15" customHeight="1">
      <c r="I40" s="244" t="s">
        <v>1829</v>
      </c>
      <c r="J40" s="208">
        <v>0.8</v>
      </c>
      <c r="K40" s="208"/>
      <c r="L40" s="208"/>
      <c r="M40" s="246"/>
    </row>
    <row r="41" spans="4:14" ht="15" customHeight="1" thickBot="1">
      <c r="I41" s="231" t="s">
        <v>1861</v>
      </c>
      <c r="J41" s="232">
        <f>((B6*(1+B6)^8)/((1+B6)^8-1))</f>
        <v>0.14852783204671277</v>
      </c>
      <c r="K41" s="232">
        <f>((B6*(1+B6)^15)/((1+B6)^15-1))</f>
        <v>8.9941100370973137E-2</v>
      </c>
      <c r="L41" s="232">
        <f>((B6*(1+B6)^15)/((1+B6)^15-1))</f>
        <v>8.9941100370973137E-2</v>
      </c>
      <c r="M41" s="233">
        <f>((B6*(1+B6)^15)/((1+B6)^15-1))</f>
        <v>8.9941100370973137E-2</v>
      </c>
    </row>
    <row r="42" spans="4:14" ht="15" customHeight="1"/>
    <row r="43" spans="4:14" ht="15" customHeight="1" thickBot="1"/>
    <row r="44" spans="4:14" ht="15" customHeight="1" thickBot="1">
      <c r="F44" s="148"/>
      <c r="G44" s="148"/>
      <c r="H44" s="148"/>
      <c r="I44" s="419" t="s">
        <v>1863</v>
      </c>
      <c r="J44" s="420"/>
      <c r="K44" s="258">
        <f>(G20/'Supply chains'!F12)*(('Supply chains'!H26/'Thermodynamic data'!B23)*'Thermodynamic data'!B22)</f>
        <v>9590.6689439910097</v>
      </c>
      <c r="M44" s="416" t="s">
        <v>1866</v>
      </c>
      <c r="N44" s="417"/>
    </row>
    <row r="45" spans="4:14" ht="15" customHeight="1" thickBot="1">
      <c r="D45" s="416" t="s">
        <v>1734</v>
      </c>
      <c r="E45" s="417"/>
      <c r="F45" s="148"/>
      <c r="G45" s="148"/>
      <c r="H45" s="148"/>
      <c r="I45" s="421" t="s">
        <v>1864</v>
      </c>
      <c r="J45" s="422"/>
      <c r="K45" s="259">
        <f>('Supply chains'!H26/'Thermodynamic data'!B23)*'Thermodynamic data'!B22</f>
        <v>10.416666666666668</v>
      </c>
      <c r="M45" s="248" t="s">
        <v>1874</v>
      </c>
      <c r="N45" s="260">
        <f>G19*G21*K47/G20</f>
        <v>0.80912226001511733</v>
      </c>
    </row>
    <row r="46" spans="4:14" ht="15" customHeight="1" thickBot="1">
      <c r="D46" s="251" t="s">
        <v>1735</v>
      </c>
      <c r="E46" s="252">
        <v>13.586364</v>
      </c>
      <c r="F46" s="148"/>
      <c r="G46" s="148"/>
      <c r="H46" s="148"/>
      <c r="M46" s="248" t="s">
        <v>1867</v>
      </c>
      <c r="N46" s="250">
        <f>(E47*G20)*K47/G20</f>
        <v>0.17</v>
      </c>
    </row>
    <row r="47" spans="4:14" ht="15" customHeight="1" thickBot="1">
      <c r="D47" s="251" t="s">
        <v>1733</v>
      </c>
      <c r="E47" s="252">
        <v>10</v>
      </c>
      <c r="F47" s="148"/>
      <c r="G47" s="148"/>
      <c r="H47" s="148"/>
      <c r="I47" s="414" t="s">
        <v>1865</v>
      </c>
      <c r="J47" s="415"/>
      <c r="K47" s="378">
        <f>17*10^-3</f>
        <v>1.7000000000000001E-2</v>
      </c>
      <c r="M47" s="248" t="s">
        <v>1873</v>
      </c>
      <c r="N47" s="250">
        <f>(((L11*M10*L12/G20)/2)*'Supply chains'!D19)+(((L11*M10*L12/G20)/2)*'Supply chains'!D20)</f>
        <v>1.0184843672456574</v>
      </c>
    </row>
    <row r="48" spans="4:14" ht="15" customHeight="1" thickBot="1">
      <c r="D48" s="206" t="s">
        <v>1783</v>
      </c>
      <c r="E48" s="146">
        <f>E47*G15</f>
        <v>0.33864541832669326</v>
      </c>
      <c r="F48" s="148"/>
      <c r="G48" s="148"/>
      <c r="H48" s="148"/>
      <c r="M48" s="140" t="s">
        <v>1867</v>
      </c>
      <c r="N48" s="142">
        <f>(SUM(N45:N47))</f>
        <v>1.9976066272607746</v>
      </c>
    </row>
    <row r="49" spans="4:14" ht="15" customHeight="1" thickBot="1">
      <c r="D49" s="206" t="s">
        <v>1784</v>
      </c>
      <c r="E49" s="146">
        <f>(((E46*G20)*((B6*((1+B6)^E10))/(((1+B6)^E10)-1)))/G20)</f>
        <v>1.6750756475729696</v>
      </c>
      <c r="F49" s="148"/>
      <c r="G49" s="148"/>
      <c r="H49" s="148"/>
      <c r="L49" s="148"/>
      <c r="M49" s="247"/>
      <c r="N49" s="247"/>
    </row>
    <row r="50" spans="4:14" ht="15" customHeight="1" thickBot="1">
      <c r="D50" s="140" t="s">
        <v>1801</v>
      </c>
      <c r="E50" s="136">
        <f>SUM(E48:E49)</f>
        <v>2.0137210658996629</v>
      </c>
      <c r="F50" s="148"/>
      <c r="G50" s="148"/>
      <c r="H50" s="148"/>
      <c r="I50" s="148"/>
      <c r="J50" s="148"/>
      <c r="K50" s="148"/>
      <c r="L50" s="148"/>
      <c r="M50" s="416" t="s">
        <v>1871</v>
      </c>
      <c r="N50" s="417"/>
    </row>
    <row r="51" spans="4:14" ht="15" customHeight="1" thickBot="1">
      <c r="F51" s="148"/>
      <c r="G51" s="148"/>
      <c r="H51" s="148"/>
      <c r="I51" s="148"/>
      <c r="J51" s="148"/>
      <c r="K51" s="148"/>
      <c r="L51" s="148"/>
      <c r="M51" s="248" t="s">
        <v>1869</v>
      </c>
      <c r="N51" s="250">
        <f>G19*G21*K47/G20</f>
        <v>0.80912226001511733</v>
      </c>
    </row>
    <row r="52" spans="4:14" ht="14.25" customHeight="1">
      <c r="D52" s="416" t="s">
        <v>1736</v>
      </c>
      <c r="E52" s="417"/>
      <c r="F52" s="148"/>
      <c r="M52" s="248" t="s">
        <v>1870</v>
      </c>
      <c r="N52" s="250">
        <f>E54*G21*K47/G20</f>
        <v>0.19257109788359789</v>
      </c>
    </row>
    <row r="53" spans="4:14" ht="14.25" customHeight="1">
      <c r="D53" s="199" t="s">
        <v>1782</v>
      </c>
      <c r="E53" s="234">
        <v>2875</v>
      </c>
      <c r="M53" s="248" t="s">
        <v>1868</v>
      </c>
      <c r="N53" s="250">
        <f>(((L11*M10*L12/G20)/2)*'Supply chains'!E19)+(((L11*M10*L12/G20)/2)*'Supply chains'!E20)</f>
        <v>0.53317985566963721</v>
      </c>
    </row>
    <row r="54" spans="4:14" ht="14.25" customHeight="1" thickBot="1">
      <c r="D54" s="201" t="s">
        <v>1715</v>
      </c>
      <c r="E54" s="133">
        <f>((G20*'Thermodynamic data'!B10)/G21)*(1-'Supply chains'!F4)</f>
        <v>3911.0519604334759</v>
      </c>
      <c r="F54" s="148"/>
      <c r="M54" s="140" t="s">
        <v>1867</v>
      </c>
      <c r="N54" s="142">
        <f>SUM(N51:N53)</f>
        <v>1.5348732135683525</v>
      </c>
    </row>
    <row r="55" spans="4:14" ht="15" customHeight="1" thickBot="1">
      <c r="D55" s="201" t="s">
        <v>1787</v>
      </c>
      <c r="E55" s="133">
        <f>G20*'Thermodynamic data'!B10*(1/'Thermodynamic data'!E19)</f>
        <v>17621761.023229681</v>
      </c>
    </row>
    <row r="56" spans="4:14" ht="15" customHeight="1">
      <c r="D56" s="201" t="s">
        <v>1791</v>
      </c>
      <c r="E56" s="132">
        <f>((E54*8000*G15)/E55)/'Thermodynamic data'!H6</f>
        <v>60.128375387339524</v>
      </c>
      <c r="M56" s="416" t="s">
        <v>1872</v>
      </c>
      <c r="N56" s="417"/>
    </row>
    <row r="57" spans="4:14" ht="15" customHeight="1">
      <c r="D57" s="201" t="s">
        <v>1792</v>
      </c>
      <c r="E57" s="132">
        <f>(((E53*E54)*((B6*(1+B6)^E10)/(((1+B6)^E10)-1)))/E55)/'Thermodynamic data'!H6</f>
        <v>78.670752915101261</v>
      </c>
      <c r="M57" s="248" t="s">
        <v>1869</v>
      </c>
      <c r="N57" s="250">
        <f>G19*G21*K47/G20</f>
        <v>0.80912226001511733</v>
      </c>
    </row>
    <row r="58" spans="4:14" ht="15" customHeight="1">
      <c r="D58" s="201" t="s">
        <v>1788</v>
      </c>
      <c r="E58" s="132">
        <f>SUM(E56:E57)</f>
        <v>138.79912830244078</v>
      </c>
      <c r="M58" s="248" t="s">
        <v>1870</v>
      </c>
      <c r="N58" s="250">
        <f>E65*G21*K47/G20</f>
        <v>0.14584428736772492</v>
      </c>
    </row>
    <row r="59" spans="4:14" ht="14.25" customHeight="1">
      <c r="D59" s="201" t="s">
        <v>1789</v>
      </c>
      <c r="E59" s="132">
        <f>(E54*8000*G15)/G20</f>
        <v>0.38360776470836233</v>
      </c>
      <c r="M59" s="248" t="s">
        <v>1868</v>
      </c>
      <c r="N59" s="250">
        <f>(((L11*M10*L12/G20)/2)*'Supply chains'!F19)+(((L11*M10*L12/G20)/2)*'Supply chains'!F20)</f>
        <v>1.0952579714637367</v>
      </c>
    </row>
    <row r="60" spans="4:14" ht="14.25" customHeight="1" thickBot="1">
      <c r="D60" s="201" t="s">
        <v>1790</v>
      </c>
      <c r="E60" s="132">
        <f>((E53*E54)*((B6*(1+B6)^E10)/(((1+B6)^E10)-1)))/G20</f>
        <v>0.50190465781385851</v>
      </c>
      <c r="M60" s="140" t="s">
        <v>1867</v>
      </c>
      <c r="N60" s="142">
        <f>SUM(N57:N59)</f>
        <v>2.0502245188465791</v>
      </c>
    </row>
    <row r="61" spans="4:14" ht="14.25" customHeight="1" thickBot="1">
      <c r="D61" s="140" t="s">
        <v>1800</v>
      </c>
      <c r="E61" s="177">
        <f>SUM(E59:E60)</f>
        <v>0.88551242252222084</v>
      </c>
    </row>
    <row r="62" spans="4:14" ht="15.75" thickBot="1"/>
    <row r="63" spans="4:14">
      <c r="D63" s="416" t="s">
        <v>1793</v>
      </c>
      <c r="E63" s="417"/>
    </row>
    <row r="64" spans="4:14">
      <c r="D64" s="197" t="s">
        <v>1782</v>
      </c>
      <c r="E64" s="196">
        <f>5057.29*E65^-0.434</f>
        <v>157.48782041862466</v>
      </c>
    </row>
    <row r="65" spans="3:5">
      <c r="D65" s="197" t="s">
        <v>1715</v>
      </c>
      <c r="E65" s="196">
        <f>((G20*'Thermodynamic data'!B10)/G21)*(1-'Supply chains'!G4)</f>
        <v>2962.0467053282955</v>
      </c>
    </row>
    <row r="66" spans="3:5">
      <c r="C66" s="148"/>
      <c r="D66" s="94" t="s">
        <v>1794</v>
      </c>
      <c r="E66" s="227">
        <v>4</v>
      </c>
    </row>
    <row r="67" spans="3:5">
      <c r="C67" s="148"/>
      <c r="D67" s="197" t="s">
        <v>1795</v>
      </c>
      <c r="E67" s="196">
        <f>(E55/'Thermodynamic data'!E7)-E55</f>
        <v>276074256.03059834</v>
      </c>
    </row>
    <row r="68" spans="3:5">
      <c r="C68" s="148"/>
      <c r="D68" s="197" t="s">
        <v>1789</v>
      </c>
      <c r="E68" s="196">
        <v>0.30462969550369962</v>
      </c>
    </row>
    <row r="69" spans="3:5">
      <c r="C69" s="148"/>
      <c r="D69" s="197" t="s">
        <v>1796</v>
      </c>
      <c r="E69" s="196">
        <f>(((E67*E66)/300)+(E64*E65)*((B7*((1+B7)^E10))/(((1+B7)^E10)-1)))/G20</f>
        <v>2.0082219956144747</v>
      </c>
    </row>
    <row r="70" spans="3:5" ht="15.75" thickBot="1">
      <c r="C70" s="148"/>
      <c r="D70" s="198" t="s">
        <v>1799</v>
      </c>
      <c r="E70" s="122">
        <f>SUM(E68:E69)</f>
        <v>2.3128516911181745</v>
      </c>
    </row>
    <row r="71" spans="3:5" ht="15.75" thickBot="1">
      <c r="C71" s="148"/>
    </row>
    <row r="72" spans="3:5">
      <c r="C72" s="148"/>
      <c r="D72" s="416" t="s">
        <v>1797</v>
      </c>
      <c r="E72" s="417"/>
    </row>
    <row r="73" spans="3:5">
      <c r="C73" s="148"/>
      <c r="D73" s="197" t="s">
        <v>1782</v>
      </c>
      <c r="E73" s="196">
        <f>5057.29*E65^-0.434</f>
        <v>157.48782041862466</v>
      </c>
    </row>
    <row r="74" spans="3:5">
      <c r="C74" s="148"/>
      <c r="D74" s="197" t="s">
        <v>1715</v>
      </c>
      <c r="E74" s="196">
        <f>((G20*'Thermodynamic data'!B10)/G21)*(1-'Supply chains'!G4)</f>
        <v>2962.0467053282955</v>
      </c>
    </row>
    <row r="75" spans="3:5">
      <c r="C75" s="148"/>
      <c r="D75" s="94" t="s">
        <v>1803</v>
      </c>
      <c r="E75" s="227">
        <v>0.3</v>
      </c>
    </row>
    <row r="76" spans="3:5">
      <c r="D76" s="197" t="s">
        <v>1795</v>
      </c>
      <c r="E76" s="196">
        <f>(E55/'Thermodynamic data'!E7)-E55</f>
        <v>276074256.03059834</v>
      </c>
    </row>
    <row r="77" spans="3:5">
      <c r="D77" s="197" t="s">
        <v>1789</v>
      </c>
      <c r="E77" s="196">
        <f>(E65*G21*G15)/G20</f>
        <v>0.29052646886000982</v>
      </c>
    </row>
    <row r="78" spans="3:5">
      <c r="D78" s="197" t="s">
        <v>1796</v>
      </c>
      <c r="E78" s="196">
        <f>(((E67*E75)/300)+(E64*E65)*((B7*((1+B7)^E10))/(((1+B7)^E10)-1)))/G20</f>
        <v>0.77550043476791342</v>
      </c>
    </row>
    <row r="79" spans="3:5" ht="15.75" thickBot="1">
      <c r="D79" s="198" t="s">
        <v>1798</v>
      </c>
      <c r="E79" s="122">
        <f>SUM(E77:E78)</f>
        <v>1.0660269036279233</v>
      </c>
    </row>
    <row r="80" spans="3:5" ht="15.75" thickBot="1"/>
    <row r="81" spans="4:17">
      <c r="D81" s="416" t="s">
        <v>1846</v>
      </c>
      <c r="E81" s="417"/>
    </row>
    <row r="82" spans="4:17">
      <c r="D82" s="206" t="s">
        <v>1836</v>
      </c>
      <c r="E82" s="207">
        <f>M10*J41*J33+M10*L41*L33</f>
        <v>551653.84522418294</v>
      </c>
    </row>
    <row r="83" spans="4:17">
      <c r="D83" s="206" t="s">
        <v>1835</v>
      </c>
      <c r="E83" s="207">
        <f>(M10*J36*L11+M10*(L35*L33))/(G20-K44)</f>
        <v>0.13011370860098831</v>
      </c>
    </row>
    <row r="84" spans="4:17">
      <c r="D84" s="206" t="s">
        <v>1834</v>
      </c>
      <c r="E84" s="207">
        <f>(L7*J39)/('Supply chains'!F12-K45)</f>
        <v>0.32099902439024391</v>
      </c>
    </row>
    <row r="85" spans="4:17">
      <c r="D85" s="206" t="s">
        <v>1833</v>
      </c>
      <c r="E85" s="207">
        <f>(('Supply chains'!D10*J37*J38*'Supply chains'!D19)+('Supply chains'!D10*J37*J38*'Supply chains'!D20))/(G20-K44)</f>
        <v>2.649545129582881E-3</v>
      </c>
    </row>
    <row r="86" spans="4:17" ht="15.75" thickBot="1">
      <c r="D86" s="140" t="s">
        <v>1845</v>
      </c>
      <c r="E86" s="142">
        <f>(E82/(G20-K44))+E83+E84+E85</f>
        <v>0.65417987617981677</v>
      </c>
    </row>
    <row r="87" spans="4:17" ht="15.75" thickBot="1"/>
    <row r="88" spans="4:17">
      <c r="D88" s="416" t="s">
        <v>1843</v>
      </c>
      <c r="E88" s="417"/>
    </row>
    <row r="89" spans="4:17">
      <c r="D89" s="206" t="s">
        <v>1836</v>
      </c>
      <c r="E89" s="207">
        <f>M10*J41*J33+M10*M41*M33</f>
        <v>225003.59831047381</v>
      </c>
    </row>
    <row r="90" spans="4:17">
      <c r="D90" s="206" t="s">
        <v>1835</v>
      </c>
      <c r="E90" s="207">
        <f>(M10*J36*L11+M10*(M35*M33))/G20</f>
        <v>7.7067053464415808E-2</v>
      </c>
    </row>
    <row r="91" spans="4:17">
      <c r="D91" s="206" t="s">
        <v>1834</v>
      </c>
      <c r="E91" s="207">
        <f>(L7*J39)/'Supply chains'!F12</f>
        <v>0.31988444444444447</v>
      </c>
    </row>
    <row r="92" spans="4:17">
      <c r="D92" s="206" t="s">
        <v>1833</v>
      </c>
      <c r="E92" s="207">
        <f>(('Supply chains'!D10*J37*J38*'Supply chains'!E19)+('Supply chains'!D10*J37*J38*'Supply chains'!E20))/G20</f>
        <v>1.3822293026438941E-3</v>
      </c>
      <c r="P92" s="200"/>
      <c r="Q92" s="200"/>
    </row>
    <row r="93" spans="4:17" ht="15.75" thickBot="1">
      <c r="D93" s="140" t="s">
        <v>1844</v>
      </c>
      <c r="E93" s="142">
        <f>(E89/G20)+E90+E91+E92</f>
        <v>0.47979441558435076</v>
      </c>
      <c r="P93" s="200"/>
      <c r="Q93" s="200"/>
    </row>
    <row r="94" spans="4:17" ht="15.75" thickBot="1">
      <c r="P94" s="200"/>
      <c r="Q94" s="200"/>
    </row>
    <row r="95" spans="4:17">
      <c r="D95" s="416" t="s">
        <v>1847</v>
      </c>
      <c r="E95" s="417"/>
      <c r="P95" s="200"/>
      <c r="Q95" s="200"/>
    </row>
    <row r="96" spans="4:17">
      <c r="D96" s="206" t="s">
        <v>1836</v>
      </c>
      <c r="E96" s="207">
        <f>M10*J41*J33+M10*K41*K33</f>
        <v>211676.4858219045</v>
      </c>
      <c r="P96" s="200"/>
      <c r="Q96" s="200"/>
    </row>
    <row r="97" spans="4:17">
      <c r="D97" s="206" t="s">
        <v>1835</v>
      </c>
      <c r="E97" s="207">
        <f>(M10*J36*L11+M10*(K35*K33))/G20</f>
        <v>7.4921217744281357E-2</v>
      </c>
      <c r="P97" s="200"/>
      <c r="Q97" s="200"/>
    </row>
    <row r="98" spans="4:17">
      <c r="D98" s="206" t="s">
        <v>1834</v>
      </c>
      <c r="E98" s="207">
        <f>((L7)*J39)/'Supply chains'!F12</f>
        <v>0.31988444444444447</v>
      </c>
      <c r="M98" s="200"/>
      <c r="N98" s="200"/>
      <c r="O98" s="200"/>
      <c r="P98" s="200"/>
      <c r="Q98" s="200"/>
    </row>
    <row r="99" spans="4:17">
      <c r="D99" s="206" t="s">
        <v>1833</v>
      </c>
      <c r="E99" s="256">
        <f>(('Supply chains'!D10*J37*'Supply chains'!F19)+('Supply chains'!D10*J37*J38*'Supply chains'!F20))/G20</f>
        <v>2.5706876414463408E-3</v>
      </c>
      <c r="M99" s="200"/>
      <c r="N99" s="200"/>
      <c r="O99" s="200"/>
      <c r="P99" s="200"/>
      <c r="Q99" s="200"/>
    </row>
    <row r="100" spans="4:17" ht="15.75" thickBot="1">
      <c r="D100" s="140" t="s">
        <v>1832</v>
      </c>
      <c r="E100" s="142">
        <f>(E96/G20)+E97+E98+E99</f>
        <v>0.47401206755591302</v>
      </c>
      <c r="P100" s="200"/>
      <c r="Q100" s="200"/>
    </row>
    <row r="101" spans="4:17" ht="15.75" thickBot="1">
      <c r="P101" s="200"/>
      <c r="Q101" s="200"/>
    </row>
    <row r="102" spans="4:17">
      <c r="D102" s="426" t="s">
        <v>1848</v>
      </c>
      <c r="E102" s="427"/>
      <c r="F102" s="427"/>
      <c r="G102" s="427"/>
      <c r="H102" s="427"/>
      <c r="I102" s="427"/>
      <c r="J102" s="427"/>
      <c r="K102" s="427"/>
      <c r="L102" s="428"/>
      <c r="P102" s="200"/>
      <c r="Q102" s="200"/>
    </row>
    <row r="103" spans="4:17">
      <c r="D103" s="248"/>
      <c r="E103" s="249" t="s">
        <v>1851</v>
      </c>
      <c r="F103" s="249" t="s">
        <v>1852</v>
      </c>
      <c r="G103" s="249" t="s">
        <v>1853</v>
      </c>
      <c r="H103" s="249" t="s">
        <v>1854</v>
      </c>
      <c r="I103" s="249" t="s">
        <v>1855</v>
      </c>
      <c r="J103" s="249" t="s">
        <v>1856</v>
      </c>
      <c r="K103" s="249" t="s">
        <v>1857</v>
      </c>
      <c r="L103" s="250" t="s">
        <v>1858</v>
      </c>
    </row>
    <row r="104" spans="4:17">
      <c r="D104" s="248" t="s">
        <v>1849</v>
      </c>
      <c r="E104" s="236">
        <f>E27</f>
        <v>2.3492994788281019</v>
      </c>
      <c r="F104" s="236">
        <f>E104</f>
        <v>2.3492994788281019</v>
      </c>
      <c r="G104" s="236">
        <f>E104</f>
        <v>2.3492994788281019</v>
      </c>
      <c r="H104" s="236">
        <f>E104</f>
        <v>2.3492994788281019</v>
      </c>
      <c r="I104" s="236">
        <f>$H$27</f>
        <v>3.9266514011825504</v>
      </c>
      <c r="J104" s="236">
        <f t="shared" ref="J104:L104" si="1">$H$27</f>
        <v>3.9266514011825504</v>
      </c>
      <c r="K104" s="236">
        <f t="shared" si="1"/>
        <v>3.9266514011825504</v>
      </c>
      <c r="L104" s="235">
        <f t="shared" si="1"/>
        <v>3.9266514011825504</v>
      </c>
    </row>
    <row r="105" spans="4:17">
      <c r="D105" s="248" t="s">
        <v>1859</v>
      </c>
      <c r="E105" s="236">
        <f>E50</f>
        <v>2.0137210658996629</v>
      </c>
      <c r="F105" s="236">
        <f>E61</f>
        <v>0.88551242252222084</v>
      </c>
      <c r="G105" s="236">
        <f>E70</f>
        <v>2.3128516911181745</v>
      </c>
      <c r="H105" s="236">
        <f>E79</f>
        <v>1.0660269036279233</v>
      </c>
      <c r="I105" s="236">
        <f>E105</f>
        <v>2.0137210658996629</v>
      </c>
      <c r="J105" s="236">
        <f t="shared" ref="J105:L106" si="2">F105</f>
        <v>0.88551242252222084</v>
      </c>
      <c r="K105" s="236">
        <f t="shared" si="2"/>
        <v>2.3128516911181745</v>
      </c>
      <c r="L105" s="235">
        <f t="shared" si="2"/>
        <v>1.0660269036279233</v>
      </c>
      <c r="P105" s="200"/>
      <c r="Q105" s="200"/>
    </row>
    <row r="106" spans="4:17">
      <c r="D106" s="248" t="s">
        <v>1860</v>
      </c>
      <c r="E106" s="236">
        <f>E86</f>
        <v>0.65417987617981677</v>
      </c>
      <c r="F106" s="236">
        <f>E93</f>
        <v>0.47979441558435076</v>
      </c>
      <c r="G106" s="236">
        <f>E100</f>
        <v>0.47401206755591302</v>
      </c>
      <c r="H106" s="236">
        <f>E100</f>
        <v>0.47401206755591302</v>
      </c>
      <c r="I106" s="236">
        <f>E106</f>
        <v>0.65417987617981677</v>
      </c>
      <c r="J106" s="236">
        <f t="shared" si="2"/>
        <v>0.47979441558435076</v>
      </c>
      <c r="K106" s="236">
        <f t="shared" si="2"/>
        <v>0.47401206755591302</v>
      </c>
      <c r="L106" s="235">
        <f t="shared" si="2"/>
        <v>0.47401206755591302</v>
      </c>
      <c r="M106" s="200"/>
      <c r="N106" s="200"/>
      <c r="O106" s="200"/>
      <c r="P106" s="200"/>
      <c r="Q106" s="200"/>
    </row>
    <row r="107" spans="4:17" ht="15.75" thickBot="1">
      <c r="D107" s="140" t="s">
        <v>1850</v>
      </c>
      <c r="E107" s="237">
        <f t="shared" ref="E107:F107" si="3">SUM(E104:E106)</f>
        <v>5.0172004209075816</v>
      </c>
      <c r="F107" s="237">
        <f t="shared" si="3"/>
        <v>3.7146063169346739</v>
      </c>
      <c r="G107" s="237">
        <f>SUM(G104:G106)</f>
        <v>5.1361632375021893</v>
      </c>
      <c r="H107" s="237">
        <f t="shared" ref="H107:L107" si="4">SUM(H104:H106)</f>
        <v>3.8893384500119383</v>
      </c>
      <c r="I107" s="237">
        <f t="shared" si="4"/>
        <v>6.5945523432620297</v>
      </c>
      <c r="J107" s="237">
        <f t="shared" si="4"/>
        <v>5.291958239289122</v>
      </c>
      <c r="K107" s="237">
        <f t="shared" si="4"/>
        <v>6.7135151598566374</v>
      </c>
      <c r="L107" s="238">
        <f t="shared" si="4"/>
        <v>5.4666903723663864</v>
      </c>
      <c r="M107" s="200"/>
      <c r="N107" s="200"/>
      <c r="O107" s="200"/>
      <c r="P107" s="200"/>
      <c r="Q107" s="200"/>
    </row>
    <row r="108" spans="4:17">
      <c r="M108" s="200"/>
      <c r="N108" s="200"/>
      <c r="O108" s="200"/>
      <c r="P108" s="200"/>
      <c r="Q108" s="200"/>
    </row>
    <row r="109" spans="4:17"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</row>
    <row r="110" spans="4:17"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</row>
    <row r="111" spans="4:17">
      <c r="L111" s="200"/>
      <c r="M111" s="200"/>
      <c r="N111" s="200"/>
      <c r="O111" s="200"/>
      <c r="P111" s="200"/>
      <c r="Q111" s="200"/>
    </row>
    <row r="112" spans="4:17">
      <c r="M112" s="200"/>
      <c r="N112" s="200"/>
      <c r="O112" s="200"/>
      <c r="P112" s="200"/>
      <c r="Q112" s="200"/>
    </row>
    <row r="113" spans="8:8">
      <c r="H113" s="205"/>
    </row>
    <row r="114" spans="8:8">
      <c r="H114" s="205"/>
    </row>
  </sheetData>
  <mergeCells count="44">
    <mergeCell ref="J11:K11"/>
    <mergeCell ref="J4:M4"/>
    <mergeCell ref="J5:K5"/>
    <mergeCell ref="J12:K12"/>
    <mergeCell ref="J6:K6"/>
    <mergeCell ref="J7:K7"/>
    <mergeCell ref="J8:K8"/>
    <mergeCell ref="J9:K9"/>
    <mergeCell ref="J10:K10"/>
    <mergeCell ref="A1:C1"/>
    <mergeCell ref="B2:C2"/>
    <mergeCell ref="D4:H4"/>
    <mergeCell ref="D13:H13"/>
    <mergeCell ref="B3:C3"/>
    <mergeCell ref="D17:E17"/>
    <mergeCell ref="D15:F15"/>
    <mergeCell ref="D16:F16"/>
    <mergeCell ref="D14:F14"/>
    <mergeCell ref="B4:C4"/>
    <mergeCell ref="B5:C5"/>
    <mergeCell ref="D81:E81"/>
    <mergeCell ref="D88:E88"/>
    <mergeCell ref="D102:L102"/>
    <mergeCell ref="D95:E95"/>
    <mergeCell ref="D52:E52"/>
    <mergeCell ref="D63:E63"/>
    <mergeCell ref="D72:E72"/>
    <mergeCell ref="D45:E45"/>
    <mergeCell ref="D18:H18"/>
    <mergeCell ref="D23:L23"/>
    <mergeCell ref="D19:F19"/>
    <mergeCell ref="D20:F20"/>
    <mergeCell ref="G20:H20"/>
    <mergeCell ref="D21:F21"/>
    <mergeCell ref="G21:H21"/>
    <mergeCell ref="I47:J47"/>
    <mergeCell ref="M44:N44"/>
    <mergeCell ref="M50:N50"/>
    <mergeCell ref="M56:N56"/>
    <mergeCell ref="J13:K13"/>
    <mergeCell ref="J14:K14"/>
    <mergeCell ref="J15:K15"/>
    <mergeCell ref="I44:J44"/>
    <mergeCell ref="I45:J45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C055-157B-43B3-B069-41C2DA0A42B8}">
  <dimension ref="A1:AL129"/>
  <sheetViews>
    <sheetView topLeftCell="D42" zoomScale="70" zoomScaleNormal="70" workbookViewId="0">
      <selection activeCell="I101" sqref="I101"/>
    </sheetView>
  </sheetViews>
  <sheetFormatPr baseColWidth="10" defaultColWidth="11.42578125" defaultRowHeight="14.25"/>
  <cols>
    <col min="1" max="1" width="4.28515625" style="2" customWidth="1"/>
    <col min="2" max="2" width="3.42578125" style="2" customWidth="1"/>
    <col min="3" max="3" width="44.140625" style="2" customWidth="1"/>
    <col min="4" max="4" width="32" style="2" customWidth="1"/>
    <col min="5" max="5" width="34.28515625" style="2" customWidth="1"/>
    <col min="6" max="6" width="30" style="2" customWidth="1"/>
    <col min="7" max="7" width="15.140625" style="2" customWidth="1"/>
    <col min="8" max="8" width="16.85546875" style="2" customWidth="1"/>
    <col min="9" max="9" width="46.140625" style="2" customWidth="1"/>
    <col min="10" max="10" width="18.85546875" style="2" customWidth="1"/>
    <col min="11" max="11" width="25.28515625" style="2" customWidth="1"/>
    <col min="12" max="12" width="18.42578125" style="2" customWidth="1"/>
    <col min="13" max="13" width="37.7109375" style="2" customWidth="1"/>
    <col min="14" max="14" width="21.5703125" style="2" customWidth="1"/>
    <col min="15" max="15" width="16.42578125" style="2" customWidth="1"/>
    <col min="16" max="16" width="17.28515625" style="2" customWidth="1"/>
    <col min="17" max="17" width="11.42578125" style="2"/>
    <col min="18" max="18" width="16.42578125" style="2" customWidth="1"/>
    <col min="19" max="19" width="16.7109375" style="2" customWidth="1"/>
    <col min="20" max="20" width="17.85546875" style="2" customWidth="1"/>
    <col min="21" max="21" width="16.42578125" style="2" customWidth="1"/>
    <col min="22" max="22" width="18.42578125" style="2" customWidth="1"/>
    <col min="23" max="23" width="15.28515625" style="2" customWidth="1"/>
    <col min="24" max="16384" width="11.42578125" style="2"/>
  </cols>
  <sheetData>
    <row r="1" spans="1:19" ht="15">
      <c r="A1" s="450" t="s">
        <v>1684</v>
      </c>
      <c r="B1" s="450"/>
      <c r="C1" s="450"/>
    </row>
    <row r="2" spans="1:19" ht="15.75" thickBot="1">
      <c r="A2" s="3" t="s">
        <v>1620</v>
      </c>
      <c r="B2" s="408" t="s">
        <v>1670</v>
      </c>
      <c r="C2" s="408"/>
      <c r="I2" s="4"/>
    </row>
    <row r="3" spans="1:19" ht="15.75" thickBot="1">
      <c r="A3" s="5" t="s">
        <v>1620</v>
      </c>
      <c r="B3" s="408" t="s">
        <v>1623</v>
      </c>
      <c r="C3" s="408"/>
      <c r="I3" s="6"/>
      <c r="K3" s="263"/>
    </row>
    <row r="4" spans="1:19" ht="15.75" thickBot="1">
      <c r="A4" s="7" t="s">
        <v>1620</v>
      </c>
      <c r="B4" s="408" t="s">
        <v>1622</v>
      </c>
      <c r="C4" s="408"/>
      <c r="I4" s="6"/>
      <c r="K4" s="263"/>
    </row>
    <row r="5" spans="1:19" ht="15.75" thickBot="1">
      <c r="A5" s="8" t="s">
        <v>1620</v>
      </c>
      <c r="B5" s="408" t="s">
        <v>1621</v>
      </c>
      <c r="C5" s="408"/>
      <c r="I5" s="6"/>
    </row>
    <row r="6" spans="1:19" ht="15.75" thickBot="1">
      <c r="A6" s="9" t="s">
        <v>1620</v>
      </c>
      <c r="B6" s="408" t="s">
        <v>1619</v>
      </c>
      <c r="C6" s="408"/>
      <c r="I6" s="6"/>
    </row>
    <row r="7" spans="1:19">
      <c r="I7" s="6"/>
    </row>
    <row r="8" spans="1:19" ht="15" customHeight="1"/>
    <row r="9" spans="1:19" ht="15" customHeight="1"/>
    <row r="10" spans="1:19" ht="15">
      <c r="Q10" s="331"/>
    </row>
    <row r="11" spans="1:19" ht="15" customHeight="1">
      <c r="C11" s="451" t="s">
        <v>1664</v>
      </c>
      <c r="D11" s="452"/>
      <c r="E11" s="452"/>
      <c r="F11" s="453"/>
      <c r="H11" s="289" t="s">
        <v>1737</v>
      </c>
      <c r="I11" s="296" t="s">
        <v>1876</v>
      </c>
      <c r="J11" s="296" t="s">
        <v>1875</v>
      </c>
      <c r="K11" s="296" t="s">
        <v>1877</v>
      </c>
      <c r="L11" s="296" t="s">
        <v>1878</v>
      </c>
      <c r="M11" s="296" t="s">
        <v>1879</v>
      </c>
      <c r="N11" s="356" t="s">
        <v>1881</v>
      </c>
      <c r="Q11" s="331"/>
    </row>
    <row r="12" spans="1:19" ht="15" customHeight="1">
      <c r="C12" s="10"/>
      <c r="D12" s="182" t="s">
        <v>1632</v>
      </c>
      <c r="E12" s="454" t="s">
        <v>1657</v>
      </c>
      <c r="F12" s="455"/>
      <c r="H12" s="290"/>
      <c r="I12" s="267">
        <v>0.9</v>
      </c>
      <c r="J12" s="267">
        <v>0.63</v>
      </c>
      <c r="K12" s="267">
        <f>0.95</f>
        <v>0.95</v>
      </c>
      <c r="L12" s="267">
        <f>0.995^I16</f>
        <v>0.99939798008156389</v>
      </c>
      <c r="M12" s="267">
        <v>0.7</v>
      </c>
      <c r="N12" s="343">
        <v>0.7</v>
      </c>
      <c r="Q12" s="331"/>
    </row>
    <row r="13" spans="1:19" ht="15">
      <c r="C13" s="183" t="s">
        <v>1674</v>
      </c>
      <c r="D13" s="184" t="s">
        <v>1662</v>
      </c>
      <c r="E13" s="184" t="s">
        <v>1662</v>
      </c>
      <c r="F13" s="185" t="s">
        <v>1663</v>
      </c>
      <c r="H13" s="290"/>
      <c r="I13" s="267"/>
      <c r="J13" s="267"/>
      <c r="K13" s="267"/>
      <c r="L13" s="267"/>
      <c r="M13" s="267"/>
      <c r="N13" s="343"/>
      <c r="Q13" s="331"/>
    </row>
    <row r="14" spans="1:19" ht="15">
      <c r="C14" s="183" t="s">
        <v>1642</v>
      </c>
      <c r="D14" s="184">
        <v>5</v>
      </c>
      <c r="E14" s="186">
        <v>5</v>
      </c>
      <c r="F14" s="187">
        <v>2</v>
      </c>
      <c r="H14" s="290"/>
      <c r="I14" s="267"/>
      <c r="J14" s="267"/>
      <c r="K14" s="267"/>
      <c r="L14" s="267"/>
      <c r="M14" s="267"/>
      <c r="N14" s="343"/>
      <c r="Q14" s="331"/>
      <c r="R14" s="89"/>
      <c r="S14" s="89"/>
    </row>
    <row r="15" spans="1:19" ht="15">
      <c r="C15" s="183" t="s">
        <v>1633</v>
      </c>
      <c r="D15" s="184">
        <v>1400</v>
      </c>
      <c r="E15" s="184"/>
      <c r="F15" s="185">
        <v>1400</v>
      </c>
      <c r="H15" s="297" t="s">
        <v>1880</v>
      </c>
      <c r="I15" s="267"/>
      <c r="J15" s="267"/>
      <c r="K15" s="266" t="s">
        <v>1894</v>
      </c>
      <c r="L15" s="267"/>
      <c r="M15" s="267"/>
      <c r="N15" s="343"/>
      <c r="Q15" s="331"/>
      <c r="R15" s="257"/>
      <c r="S15" s="257"/>
    </row>
    <row r="16" spans="1:19" ht="15">
      <c r="C16" s="183" t="s">
        <v>1636</v>
      </c>
      <c r="D16" s="184">
        <v>1750</v>
      </c>
      <c r="E16" s="184">
        <v>1750</v>
      </c>
      <c r="F16" s="185"/>
      <c r="H16" s="290" t="s">
        <v>1955</v>
      </c>
      <c r="I16" s="301">
        <f>(2+(53/60))/24</f>
        <v>0.12013888888888889</v>
      </c>
      <c r="J16" s="267"/>
      <c r="K16" s="267">
        <f>(K48/'Supply chains'!D12)</f>
        <v>1.654012930128123</v>
      </c>
      <c r="L16" s="267"/>
      <c r="M16" s="267"/>
      <c r="N16" s="343"/>
      <c r="Q16" s="331"/>
      <c r="R16" s="89"/>
      <c r="S16" s="89"/>
    </row>
    <row r="17" spans="3:17" ht="15">
      <c r="C17" s="188" t="s">
        <v>1637</v>
      </c>
      <c r="D17" s="189">
        <v>3150</v>
      </c>
      <c r="E17" s="189">
        <v>1750</v>
      </c>
      <c r="F17" s="190">
        <v>1400</v>
      </c>
      <c r="H17" s="290" t="s">
        <v>1889</v>
      </c>
      <c r="I17" s="301">
        <v>180.9</v>
      </c>
      <c r="J17" s="267"/>
      <c r="K17" s="267"/>
      <c r="L17" s="267"/>
      <c r="M17" s="267"/>
      <c r="N17" s="343"/>
      <c r="Q17" s="331"/>
    </row>
    <row r="18" spans="3:17" ht="15">
      <c r="C18" s="191" t="s">
        <v>1675</v>
      </c>
      <c r="D18" s="138">
        <f>E18</f>
        <v>0.47277842007998566</v>
      </c>
      <c r="E18" s="138">
        <f>'Case MV Rubin'!E29</f>
        <v>0.47277842007998566</v>
      </c>
      <c r="F18" s="192">
        <f>'Case MV Rubin'!E39*'Case MV Rubin'!E34</f>
        <v>0.40827874796419361</v>
      </c>
      <c r="H18" s="290"/>
      <c r="I18" s="267"/>
      <c r="J18" s="267"/>
      <c r="K18" s="267"/>
      <c r="L18" s="267"/>
      <c r="M18" s="267"/>
      <c r="N18" s="343"/>
      <c r="Q18" s="331"/>
    </row>
    <row r="19" spans="3:17" ht="15">
      <c r="C19" s="191" t="s">
        <v>1665</v>
      </c>
      <c r="D19" s="138">
        <f>D14*'Thermodynamic data'!$E$27*(1/24)*'Case MV Rubin'!D24*'Thermodynamic data'!$E$33</f>
        <v>160925.78174213378</v>
      </c>
      <c r="E19" s="138">
        <f>E14*'Thermodynamic data'!$E$27*(1/24)*'Case MV Rubin'!E24*'Thermodynamic data'!$E$33</f>
        <v>20301.166061487093</v>
      </c>
      <c r="F19" s="192">
        <f>F14*'Thermodynamic data'!$E$27*(1/24)*'Case MV Rubin'!E24*'Thermodynamic data'!$E$33</f>
        <v>8120.4664245948361</v>
      </c>
      <c r="H19" s="290"/>
      <c r="I19" s="267"/>
      <c r="J19" s="267"/>
      <c r="K19" s="267"/>
      <c r="L19" s="267"/>
      <c r="M19" s="267"/>
      <c r="N19" s="343"/>
      <c r="Q19" s="331"/>
    </row>
    <row r="20" spans="3:17" ht="15">
      <c r="C20" s="193" t="s">
        <v>1666</v>
      </c>
      <c r="D20" s="194">
        <f>D19*'Case MV Rubin'!E28</f>
        <v>76082.23684218261</v>
      </c>
      <c r="E20" s="194">
        <f>E19*'Case MV Rubin'!E28</f>
        <v>9597.9532163312924</v>
      </c>
      <c r="F20" s="195">
        <f>F19*'Case MV Rubin'!E34*'Case MV Rubin'!E39</f>
        <v>3315.4138647188515</v>
      </c>
      <c r="H20" s="290"/>
      <c r="I20" s="267"/>
      <c r="J20" s="267"/>
      <c r="K20" s="267"/>
      <c r="L20" s="267"/>
      <c r="M20" s="267"/>
      <c r="N20" s="343"/>
      <c r="Q20" s="331"/>
    </row>
    <row r="21" spans="3:17" ht="15">
      <c r="C21" s="137"/>
      <c r="D21" s="137"/>
      <c r="E21" s="137"/>
      <c r="F21" s="137"/>
      <c r="H21" s="291" t="s">
        <v>1737</v>
      </c>
      <c r="I21" s="292" t="s">
        <v>1876</v>
      </c>
      <c r="J21" s="292" t="s">
        <v>1957</v>
      </c>
      <c r="K21" s="292" t="s">
        <v>1882</v>
      </c>
      <c r="L21" s="292" t="s">
        <v>1883</v>
      </c>
      <c r="M21" s="292" t="s">
        <v>1958</v>
      </c>
      <c r="N21" s="343"/>
      <c r="Q21" s="331"/>
    </row>
    <row r="22" spans="3:17" ht="15">
      <c r="C22" s="459" t="s">
        <v>1661</v>
      </c>
      <c r="D22" s="459"/>
      <c r="E22" s="459"/>
      <c r="F22" s="137"/>
      <c r="H22" s="293"/>
      <c r="I22" s="294">
        <v>0.9</v>
      </c>
      <c r="J22" s="294">
        <v>0.6</v>
      </c>
      <c r="K22" s="294">
        <v>0.66</v>
      </c>
      <c r="L22" s="294">
        <v>0.7</v>
      </c>
      <c r="M22" s="294">
        <v>0.5</v>
      </c>
      <c r="N22" s="343"/>
      <c r="Q22" s="331"/>
    </row>
    <row r="23" spans="3:17" ht="15">
      <c r="C23" s="139" t="s">
        <v>1498</v>
      </c>
      <c r="D23" s="139" t="s">
        <v>1696</v>
      </c>
      <c r="E23" s="139" t="s">
        <v>1697</v>
      </c>
      <c r="F23" s="137"/>
      <c r="H23" s="298"/>
      <c r="I23" s="294"/>
      <c r="J23" s="294"/>
      <c r="K23" s="294"/>
      <c r="L23" s="294"/>
      <c r="M23" s="267"/>
      <c r="N23" s="343"/>
      <c r="Q23" s="331"/>
    </row>
    <row r="24" spans="3:17" ht="15">
      <c r="C24" s="139">
        <f>MarineTraffic!U139</f>
        <v>1221.3994647286643</v>
      </c>
      <c r="D24" s="139">
        <f>MarineTraffic!V139</f>
        <v>68.700000000069849</v>
      </c>
      <c r="E24" s="139">
        <f>MarineTraffic!W139</f>
        <v>8.6666666666278616</v>
      </c>
      <c r="F24" s="137"/>
      <c r="H24" s="293"/>
      <c r="I24" s="294"/>
      <c r="J24" s="294"/>
      <c r="K24" s="294"/>
      <c r="L24" s="294"/>
      <c r="M24" s="267"/>
      <c r="N24" s="343"/>
      <c r="Q24" s="331"/>
    </row>
    <row r="25" spans="3:17" ht="15">
      <c r="H25" s="298" t="s">
        <v>1896</v>
      </c>
      <c r="I25" s="294"/>
      <c r="J25" s="294"/>
      <c r="K25" s="299" t="s">
        <v>1894</v>
      </c>
      <c r="L25" s="294"/>
      <c r="M25" s="267"/>
      <c r="N25" s="343"/>
      <c r="Q25" s="331"/>
    </row>
    <row r="26" spans="3:17" ht="15">
      <c r="C26" s="456" t="s">
        <v>1658</v>
      </c>
      <c r="D26" s="456"/>
      <c r="E26" s="456"/>
      <c r="H26" s="293" t="s">
        <v>1955</v>
      </c>
      <c r="I26" s="300">
        <f>(8+(12/60)+'Supply chains'!I10)/24</f>
        <v>0.37291666666666662</v>
      </c>
      <c r="J26" s="294"/>
      <c r="K26" s="294">
        <f>N58/'Supply chains'!D12</f>
        <v>1.6488846384453379</v>
      </c>
      <c r="L26" s="294"/>
      <c r="M26" s="267"/>
      <c r="N26" s="343"/>
      <c r="Q26" s="331"/>
    </row>
    <row r="27" spans="3:17" ht="15">
      <c r="C27" s="457" t="s">
        <v>1659</v>
      </c>
      <c r="D27" s="457"/>
      <c r="E27" s="178">
        <v>190</v>
      </c>
      <c r="H27" s="293" t="s">
        <v>1889</v>
      </c>
      <c r="I27" s="300">
        <v>544.4</v>
      </c>
      <c r="J27" s="294"/>
      <c r="K27" s="294"/>
      <c r="L27" s="294"/>
      <c r="M27" s="267"/>
      <c r="N27" s="343"/>
      <c r="Q27" s="331"/>
    </row>
    <row r="28" spans="3:17" ht="15">
      <c r="C28" s="458" t="s">
        <v>1668</v>
      </c>
      <c r="D28" s="458"/>
      <c r="E28" s="176">
        <f>(3600)/((E27*'Thermodynamic data'!H6)*('Thermodynamic data'!E32*'Thermodynamic data'!H10))</f>
        <v>0.47277842007998566</v>
      </c>
      <c r="H28" s="290"/>
      <c r="I28" s="267"/>
      <c r="J28" s="267"/>
      <c r="K28" s="267"/>
      <c r="L28" s="267"/>
      <c r="M28" s="267"/>
      <c r="N28" s="343"/>
      <c r="Q28" s="331"/>
    </row>
    <row r="29" spans="3:17" ht="15">
      <c r="C29" s="458" t="s">
        <v>1667</v>
      </c>
      <c r="D29" s="458"/>
      <c r="E29" s="176">
        <f>(3600)/((E27*'Thermodynamic data'!H6)*('Thermodynamic data'!E32*'Thermodynamic data'!H10))</f>
        <v>0.47277842007998566</v>
      </c>
      <c r="H29" s="290"/>
      <c r="I29" s="267"/>
      <c r="J29" s="267"/>
      <c r="K29" s="267"/>
      <c r="L29" s="267"/>
      <c r="M29" s="267"/>
      <c r="N29" s="343"/>
      <c r="Q29" s="331"/>
    </row>
    <row r="30" spans="3:17" ht="15">
      <c r="H30" s="290"/>
      <c r="I30" s="267"/>
      <c r="J30" s="267"/>
      <c r="K30" s="267"/>
      <c r="L30" s="267"/>
      <c r="M30" s="267"/>
      <c r="N30" s="343"/>
      <c r="Q30" s="331"/>
    </row>
    <row r="31" spans="3:17" ht="15" customHeight="1">
      <c r="C31" s="456" t="s">
        <v>1653</v>
      </c>
      <c r="D31" s="456"/>
      <c r="E31" s="456"/>
      <c r="H31" s="290"/>
      <c r="I31" s="267"/>
      <c r="J31" s="267"/>
      <c r="K31" s="267"/>
      <c r="L31" s="267"/>
      <c r="M31" s="267"/>
      <c r="N31" s="343"/>
      <c r="Q31" s="331"/>
    </row>
    <row r="32" spans="3:17" ht="15">
      <c r="C32" s="457" t="s">
        <v>1655</v>
      </c>
      <c r="D32" s="457"/>
      <c r="E32" s="179">
        <v>42.7</v>
      </c>
      <c r="H32" s="290"/>
      <c r="I32" s="267"/>
      <c r="J32" s="267"/>
      <c r="K32" s="267"/>
      <c r="L32" s="267"/>
      <c r="M32" s="267"/>
      <c r="N32" s="343"/>
      <c r="Q32" s="331"/>
    </row>
    <row r="33" spans="3:21" ht="15">
      <c r="C33" s="460" t="s">
        <v>1660</v>
      </c>
      <c r="D33" s="460"/>
      <c r="E33" s="180">
        <v>197</v>
      </c>
      <c r="H33" s="478" t="s">
        <v>1946</v>
      </c>
      <c r="I33" s="479"/>
      <c r="J33" s="479"/>
      <c r="K33" s="479"/>
      <c r="L33" s="267"/>
      <c r="M33" s="267"/>
      <c r="N33" s="343"/>
      <c r="Q33" s="331"/>
    </row>
    <row r="34" spans="3:21" ht="15">
      <c r="C34" s="458" t="s">
        <v>1669</v>
      </c>
      <c r="D34" s="458"/>
      <c r="E34" s="139">
        <f>(3600)/((E33*'Thermodynamic data'!H6)*(E32*'Thermodynamic data'!H10))</f>
        <v>0.42796514461655516</v>
      </c>
      <c r="H34" s="478">
        <v>0.3</v>
      </c>
      <c r="I34" s="479"/>
      <c r="J34" s="479"/>
      <c r="K34" s="479"/>
      <c r="L34" s="267"/>
      <c r="M34" s="267"/>
      <c r="N34" s="343"/>
    </row>
    <row r="35" spans="3:21" ht="15">
      <c r="C35" s="458" t="s">
        <v>1656</v>
      </c>
      <c r="D35" s="458"/>
      <c r="E35" s="139">
        <f>(3600)/(E34*('Thermodynamic data'!E32))</f>
        <v>209.89536401540499</v>
      </c>
      <c r="H35" s="344" t="s">
        <v>1737</v>
      </c>
      <c r="I35" s="345" t="s">
        <v>1876</v>
      </c>
      <c r="J35" s="345" t="s">
        <v>1886</v>
      </c>
      <c r="K35" s="345" t="s">
        <v>1887</v>
      </c>
      <c r="L35" s="351" t="s">
        <v>1888</v>
      </c>
      <c r="M35" s="351" t="s">
        <v>1885</v>
      </c>
      <c r="N35" s="271" t="s">
        <v>1883</v>
      </c>
    </row>
    <row r="36" spans="3:21" ht="15">
      <c r="C36" s="458" t="s">
        <v>1667</v>
      </c>
      <c r="D36" s="458"/>
      <c r="E36" s="139">
        <f>(3600)/((E33*'Thermodynamic data'!H6)*(E32*'Thermodynamic data'!H10))</f>
        <v>0.42796514461655516</v>
      </c>
      <c r="H36" s="295"/>
      <c r="I36" s="167">
        <v>0.9</v>
      </c>
      <c r="J36" s="167">
        <v>0.6</v>
      </c>
      <c r="K36" s="167">
        <v>0.3</v>
      </c>
      <c r="L36" s="169">
        <f>'Supply chains'!G7</f>
        <v>0.73519753644974384</v>
      </c>
      <c r="M36" s="169">
        <f>'Supply chains'!G4</f>
        <v>0.74249999999999994</v>
      </c>
      <c r="N36" s="274">
        <v>0.7</v>
      </c>
    </row>
    <row r="38" spans="3:21" ht="15">
      <c r="C38" s="456" t="s">
        <v>1654</v>
      </c>
      <c r="D38" s="456"/>
      <c r="E38" s="456"/>
    </row>
    <row r="39" spans="3:21" ht="15">
      <c r="C39" s="484" t="s">
        <v>1652</v>
      </c>
      <c r="D39" s="484"/>
      <c r="E39" s="181">
        <v>0.95399999999999996</v>
      </c>
    </row>
    <row r="41" spans="3:21" ht="15">
      <c r="C41" s="456" t="s">
        <v>1672</v>
      </c>
      <c r="D41" s="456"/>
      <c r="E41" s="456"/>
    </row>
    <row r="42" spans="3:21" ht="15">
      <c r="C42" s="484" t="s">
        <v>1652</v>
      </c>
      <c r="D42" s="484"/>
      <c r="E42" s="181" t="s">
        <v>1673</v>
      </c>
    </row>
    <row r="44" spans="3:21" ht="15">
      <c r="C44" s="408"/>
      <c r="D44" s="408"/>
      <c r="E44" s="408"/>
    </row>
    <row r="45" spans="3:21" ht="15">
      <c r="C45" s="408"/>
      <c r="D45" s="408"/>
      <c r="E45" s="263"/>
    </row>
    <row r="46" spans="3:21" ht="15">
      <c r="D46" s="463" t="s">
        <v>1778</v>
      </c>
      <c r="E46" s="464"/>
      <c r="F46" s="464"/>
      <c r="G46" s="464"/>
      <c r="H46" s="464"/>
      <c r="I46" s="465"/>
      <c r="J46" s="278" t="s">
        <v>1771</v>
      </c>
      <c r="K46" s="480" t="s">
        <v>1908</v>
      </c>
      <c r="L46" s="481"/>
      <c r="M46" s="481"/>
      <c r="N46" s="481"/>
      <c r="O46" s="481"/>
      <c r="P46" s="482"/>
      <c r="Q46" s="469" t="s">
        <v>1917</v>
      </c>
      <c r="R46" s="470"/>
      <c r="S46" s="354"/>
      <c r="T46" s="355"/>
      <c r="U46" s="355"/>
    </row>
    <row r="47" spans="3:21" ht="15">
      <c r="D47" s="159" t="s">
        <v>1741</v>
      </c>
      <c r="E47" s="159" t="s">
        <v>1742</v>
      </c>
      <c r="F47" s="268" t="s">
        <v>1901</v>
      </c>
      <c r="G47" s="277"/>
      <c r="H47" s="277"/>
      <c r="I47" s="277"/>
      <c r="J47" s="160" t="s">
        <v>1904</v>
      </c>
      <c r="K47" s="160" t="s">
        <v>1903</v>
      </c>
      <c r="L47" s="160" t="s">
        <v>1905</v>
      </c>
      <c r="M47" s="277"/>
      <c r="N47" s="277"/>
      <c r="O47" s="277"/>
      <c r="P47" s="277"/>
      <c r="Q47" s="213" t="s">
        <v>1910</v>
      </c>
      <c r="R47" s="279" t="s">
        <v>1909</v>
      </c>
    </row>
    <row r="48" spans="3:21" ht="15">
      <c r="C48" s="269" t="s">
        <v>1777</v>
      </c>
      <c r="D48" s="270">
        <f>D50</f>
        <v>168221.55028199262</v>
      </c>
      <c r="E48" s="236">
        <f>E50</f>
        <v>168221.55028199262</v>
      </c>
      <c r="F48" s="271">
        <f>D48</f>
        <v>168221.55028199262</v>
      </c>
      <c r="G48" s="466" t="s">
        <v>1907</v>
      </c>
      <c r="H48" s="467"/>
      <c r="I48" s="468"/>
      <c r="J48" s="236">
        <f>J50</f>
        <v>165319.24872064326</v>
      </c>
      <c r="K48" s="236">
        <f>K49</f>
        <v>165319.24872064326</v>
      </c>
      <c r="L48" s="236">
        <f>L49</f>
        <v>165219.72324001254</v>
      </c>
      <c r="M48" s="275" t="s">
        <v>1912</v>
      </c>
      <c r="N48" s="349">
        <f>L48/'Thermodynamic data'!$B$10</f>
        <v>4959.0515441965053</v>
      </c>
      <c r="O48" s="358" t="s">
        <v>1956</v>
      </c>
      <c r="P48" s="352"/>
      <c r="Q48" s="236">
        <f>Q49</f>
        <v>156958.73707801191</v>
      </c>
      <c r="R48" s="271" t="s">
        <v>1911</v>
      </c>
    </row>
    <row r="49" spans="3:25" ht="15">
      <c r="C49" s="269" t="s">
        <v>1899</v>
      </c>
      <c r="D49" s="270">
        <f>D51</f>
        <v>240316.50040284661</v>
      </c>
      <c r="E49" s="236">
        <f>E48+E51</f>
        <v>218688.01536659038</v>
      </c>
      <c r="F49" s="271">
        <f>SUM(D49:E49)-F50</f>
        <v>290782.96548744431</v>
      </c>
      <c r="G49" s="236"/>
      <c r="H49" s="236"/>
      <c r="I49" s="236"/>
      <c r="J49" s="236">
        <f>J48+J51</f>
        <v>168221.55028199262</v>
      </c>
      <c r="K49" s="236">
        <f>K50/K52</f>
        <v>165319.24872064326</v>
      </c>
      <c r="L49" s="236">
        <f>L50/L52</f>
        <v>165219.72324001254</v>
      </c>
      <c r="M49" s="236"/>
      <c r="N49" s="236"/>
      <c r="O49" s="236"/>
      <c r="P49" s="176"/>
      <c r="Q49" s="236">
        <f>Q50/Q52</f>
        <v>156958.73707801191</v>
      </c>
      <c r="R49" s="271">
        <f>R50/R52</f>
        <v>98884.004359147511</v>
      </c>
    </row>
    <row r="50" spans="3:25" ht="15">
      <c r="C50" s="269" t="s">
        <v>1900</v>
      </c>
      <c r="D50" s="270">
        <f>E50</f>
        <v>168221.55028199262</v>
      </c>
      <c r="E50" s="236">
        <f>J49</f>
        <v>168221.55028199262</v>
      </c>
      <c r="F50" s="271">
        <f>J49</f>
        <v>168221.55028199262</v>
      </c>
      <c r="G50" s="236"/>
      <c r="H50" s="236"/>
      <c r="I50" s="236"/>
      <c r="J50" s="236">
        <f>K49</f>
        <v>165319.24872064326</v>
      </c>
      <c r="K50" s="236">
        <f>L48</f>
        <v>165219.72324001254</v>
      </c>
      <c r="L50" s="236">
        <f>Q48</f>
        <v>156958.73707801191</v>
      </c>
      <c r="M50" s="351"/>
      <c r="N50" s="357"/>
      <c r="O50" s="276"/>
      <c r="P50" s="176"/>
      <c r="Q50" s="236">
        <f>R49</f>
        <v>98884.004359147511</v>
      </c>
      <c r="R50" s="271">
        <f>SUM(D20:F20)</f>
        <v>88995.60392323276</v>
      </c>
    </row>
    <row r="51" spans="3:25" ht="15">
      <c r="C51" s="269" t="s">
        <v>1902</v>
      </c>
      <c r="D51" s="270">
        <f>D48/D52</f>
        <v>240316.50040284661</v>
      </c>
      <c r="E51" s="236">
        <f>(E48/E52)-E48</f>
        <v>50466.465084597759</v>
      </c>
      <c r="F51" s="271">
        <f>SUM(D51:E51)</f>
        <v>290782.96548744437</v>
      </c>
      <c r="G51" s="275" t="s">
        <v>1913</v>
      </c>
      <c r="H51" s="276"/>
      <c r="I51" s="236"/>
      <c r="J51" s="236">
        <f>(((((I17*'Supply chains'!E10*'Supply chains'!D19)+(I17*'Supply chains'!E10*'Supply chains'!D20))/K49)*K49))*K16</f>
        <v>2902.3015613493699</v>
      </c>
      <c r="K51" s="236">
        <f>K49-K50</f>
        <v>99.525480630720267</v>
      </c>
      <c r="L51" s="236">
        <f>L49-L50</f>
        <v>8260.9861620006268</v>
      </c>
      <c r="M51" s="176">
        <f>SUM(K51:L51)</f>
        <v>8360.5116426313471</v>
      </c>
      <c r="N51" s="275" t="s">
        <v>1926</v>
      </c>
      <c r="O51" s="282"/>
      <c r="P51" s="282"/>
      <c r="Q51" s="236">
        <f>Q49-Q50</f>
        <v>58074.732718864398</v>
      </c>
      <c r="R51" s="271">
        <f>R49-R50</f>
        <v>9888.4004359147511</v>
      </c>
    </row>
    <row r="52" spans="3:25" ht="15">
      <c r="C52" s="269" t="s">
        <v>1652</v>
      </c>
      <c r="D52" s="272">
        <v>0.7</v>
      </c>
      <c r="E52" s="273">
        <f>(E48/(E48*(1+H34)))</f>
        <v>0.76923076923076927</v>
      </c>
      <c r="F52" s="54"/>
      <c r="G52" s="236"/>
      <c r="H52" s="236"/>
      <c r="I52" s="236"/>
      <c r="J52" s="236">
        <f>J50/J49</f>
        <v>0.98274714769609373</v>
      </c>
      <c r="K52" s="236">
        <f>L12</f>
        <v>0.99939798008156389</v>
      </c>
      <c r="L52" s="236">
        <f>K12</f>
        <v>0.95</v>
      </c>
      <c r="M52" s="236"/>
      <c r="N52" s="236"/>
      <c r="O52" s="236"/>
      <c r="P52" s="176"/>
      <c r="Q52" s="236">
        <f>J12</f>
        <v>0.63</v>
      </c>
      <c r="R52" s="271">
        <f>I12</f>
        <v>0.9</v>
      </c>
    </row>
    <row r="53" spans="3:25" ht="15">
      <c r="C53" s="269" t="s">
        <v>1898</v>
      </c>
      <c r="D53" s="272" t="s">
        <v>1911</v>
      </c>
      <c r="E53" s="273" t="s">
        <v>1911</v>
      </c>
      <c r="F53" s="274">
        <f>F50/F51</f>
        <v>0.57851239669421495</v>
      </c>
      <c r="G53" s="280" t="s">
        <v>1906</v>
      </c>
      <c r="H53" s="280"/>
      <c r="I53" s="273"/>
      <c r="J53" s="273">
        <f>F53*J52</f>
        <v>0.56853140775807087</v>
      </c>
      <c r="K53" s="273">
        <f>K52*J53</f>
        <v>0.56818914052634395</v>
      </c>
      <c r="L53" s="273">
        <f t="shared" ref="L53" si="0">L52*K53</f>
        <v>0.5397796835000267</v>
      </c>
      <c r="M53" s="280" t="s">
        <v>1924</v>
      </c>
      <c r="N53" s="280"/>
      <c r="O53" s="273"/>
      <c r="P53" s="176"/>
      <c r="Q53" s="273">
        <f>Q52*L53</f>
        <v>0.34006120060501682</v>
      </c>
      <c r="R53" s="274">
        <f>R52*Q53</f>
        <v>0.30605508054451513</v>
      </c>
      <c r="S53" s="461"/>
      <c r="T53" s="462"/>
      <c r="U53" s="462"/>
    </row>
    <row r="54" spans="3:25" ht="15">
      <c r="F54" s="176">
        <f>F51-F50</f>
        <v>122561.41520545175</v>
      </c>
      <c r="J54" s="263"/>
      <c r="K54" s="263"/>
      <c r="L54" s="263"/>
      <c r="M54" s="263"/>
      <c r="N54" s="263"/>
      <c r="O54" s="263"/>
      <c r="P54" s="263"/>
      <c r="Q54" s="263"/>
    </row>
    <row r="55" spans="3:25" ht="15">
      <c r="J55" s="263"/>
      <c r="K55" s="263"/>
      <c r="L55" s="263"/>
      <c r="M55" s="263"/>
      <c r="N55" s="263"/>
      <c r="O55" s="263"/>
      <c r="P55" s="263"/>
      <c r="Q55" s="263"/>
    </row>
    <row r="56" spans="3:25" ht="15">
      <c r="D56" s="463" t="s">
        <v>1778</v>
      </c>
      <c r="E56" s="464"/>
      <c r="F56" s="464"/>
      <c r="G56" s="464"/>
      <c r="H56" s="464"/>
      <c r="I56" s="465"/>
      <c r="J56" s="284" t="s">
        <v>1771</v>
      </c>
      <c r="K56" s="283"/>
      <c r="L56" s="283"/>
      <c r="M56" s="283"/>
      <c r="N56" s="483" t="s">
        <v>1917</v>
      </c>
      <c r="O56" s="483"/>
      <c r="P56" s="483"/>
      <c r="Q56" s="263"/>
    </row>
    <row r="57" spans="3:25" ht="15">
      <c r="D57" s="159" t="s">
        <v>1741</v>
      </c>
      <c r="E57" s="159" t="s">
        <v>1915</v>
      </c>
      <c r="F57" s="268" t="s">
        <v>1901</v>
      </c>
      <c r="G57" s="277"/>
      <c r="H57" s="277"/>
      <c r="I57" s="277"/>
      <c r="J57" s="160" t="s">
        <v>1904</v>
      </c>
      <c r="K57" s="277"/>
      <c r="L57" s="277"/>
      <c r="M57" s="286"/>
      <c r="N57" s="285" t="s">
        <v>1910</v>
      </c>
      <c r="O57" s="279" t="s">
        <v>1909</v>
      </c>
      <c r="P57" s="279"/>
      <c r="Q57" s="263"/>
    </row>
    <row r="58" spans="3:25" ht="15">
      <c r="C58" s="269" t="s">
        <v>1777</v>
      </c>
      <c r="D58" s="270">
        <f>E58</f>
        <v>164806.67393191252</v>
      </c>
      <c r="E58" s="236">
        <f>F58</f>
        <v>164806.67393191252</v>
      </c>
      <c r="F58" s="271">
        <f>J58</f>
        <v>164806.67393191252</v>
      </c>
      <c r="G58" s="466" t="s">
        <v>1884</v>
      </c>
      <c r="H58" s="467"/>
      <c r="I58" s="468"/>
      <c r="J58" s="236">
        <f>N58</f>
        <v>164806.67393191252</v>
      </c>
      <c r="K58" s="466" t="s">
        <v>1923</v>
      </c>
      <c r="L58" s="467"/>
      <c r="M58" s="281"/>
      <c r="N58" s="176">
        <f>N59</f>
        <v>164806.67393191252</v>
      </c>
      <c r="O58" s="471" t="s">
        <v>1911</v>
      </c>
      <c r="P58" s="471"/>
      <c r="Q58" s="263"/>
      <c r="T58" s="408"/>
      <c r="U58" s="408"/>
      <c r="V58" s="408"/>
      <c r="W58" s="408"/>
      <c r="X58" s="408"/>
      <c r="Y58" s="408"/>
    </row>
    <row r="59" spans="3:25" ht="15">
      <c r="C59" s="269" t="s">
        <v>1899</v>
      </c>
      <c r="D59" s="270">
        <f>D61</f>
        <v>235438.10561701789</v>
      </c>
      <c r="E59" s="236">
        <f>E58+E61</f>
        <v>249707.08171501895</v>
      </c>
      <c r="F59" s="271">
        <f>SUM(D59:E59)-F60</f>
        <v>320338.51340012433</v>
      </c>
      <c r="G59" s="236"/>
      <c r="H59" s="236"/>
      <c r="I59" s="236"/>
      <c r="J59" s="236">
        <f>J58+J61</f>
        <v>169364.86811130639</v>
      </c>
      <c r="K59" s="236"/>
      <c r="L59" s="236"/>
      <c r="M59" s="269"/>
      <c r="N59" s="176">
        <f>N60/N62</f>
        <v>164806.67393191252</v>
      </c>
      <c r="O59" s="471">
        <f>O60/O62</f>
        <v>98884.004359147511</v>
      </c>
      <c r="P59" s="471"/>
      <c r="Q59" s="263"/>
      <c r="T59" s="408"/>
      <c r="U59" s="408"/>
      <c r="V59" s="408"/>
      <c r="W59" s="408"/>
      <c r="X59" s="408"/>
      <c r="Y59" s="408"/>
    </row>
    <row r="60" spans="3:25" ht="15">
      <c r="C60" s="269" t="s">
        <v>1900</v>
      </c>
      <c r="D60" s="270">
        <f>E60</f>
        <v>169364.86811130639</v>
      </c>
      <c r="E60" s="236">
        <f>J59</f>
        <v>169364.86811130639</v>
      </c>
      <c r="F60" s="271">
        <f>F58</f>
        <v>164806.67393191252</v>
      </c>
      <c r="G60" s="236"/>
      <c r="H60" s="236"/>
      <c r="I60" s="236"/>
      <c r="J60" s="236">
        <f>J58</f>
        <v>164806.67393191252</v>
      </c>
      <c r="K60" s="349">
        <f>J60/'Thermodynamic data'!$B$10</f>
        <v>4946.6539153360145</v>
      </c>
      <c r="L60" s="476" t="s">
        <v>1956</v>
      </c>
      <c r="M60" s="477"/>
      <c r="N60" s="176">
        <f>O59</f>
        <v>98884.004359147511</v>
      </c>
      <c r="O60" s="471">
        <f>SUM(D20:F20)</f>
        <v>88995.60392323276</v>
      </c>
      <c r="P60" s="471"/>
      <c r="Q60" s="263"/>
      <c r="T60" s="263"/>
      <c r="U60" s="263"/>
      <c r="V60" s="263"/>
      <c r="W60" s="263"/>
      <c r="X60" s="263"/>
      <c r="Y60" s="263"/>
    </row>
    <row r="61" spans="3:25" ht="15">
      <c r="C61" s="269" t="s">
        <v>1902</v>
      </c>
      <c r="D61" s="270">
        <f>D58/D62</f>
        <v>235438.10561701789</v>
      </c>
      <c r="E61" s="236">
        <f>(E58/E62)-E58</f>
        <v>84900.407783106435</v>
      </c>
      <c r="F61" s="271">
        <f>SUM(D61:E61)</f>
        <v>320338.51340012433</v>
      </c>
      <c r="G61" s="275" t="s">
        <v>1913</v>
      </c>
      <c r="H61" s="276"/>
      <c r="I61" s="236"/>
      <c r="J61" s="236">
        <f>(((((I27*'Supply chains'!E10*'Supply chains'!E19)+(I27*'Supply chains'!E10*'Supply chains'!E20))/J58)*J58))*K26</f>
        <v>4558.1941793938659</v>
      </c>
      <c r="K61" s="275" t="s">
        <v>1914</v>
      </c>
      <c r="L61" s="282"/>
      <c r="M61" s="282"/>
      <c r="N61" s="176">
        <f>N59-N60</f>
        <v>65922.669572765008</v>
      </c>
      <c r="O61" s="471">
        <v>9888.4004359147511</v>
      </c>
      <c r="P61" s="471"/>
      <c r="Q61" s="263"/>
      <c r="T61" s="263"/>
      <c r="U61" s="263"/>
      <c r="V61" s="263"/>
      <c r="W61" s="263"/>
      <c r="X61" s="263"/>
      <c r="Y61" s="263"/>
    </row>
    <row r="62" spans="3:25" ht="15">
      <c r="C62" s="269" t="s">
        <v>1652</v>
      </c>
      <c r="D62" s="272">
        <v>0.7</v>
      </c>
      <c r="E62" s="273">
        <v>0.66</v>
      </c>
      <c r="F62" s="54"/>
      <c r="G62" s="236"/>
      <c r="H62" s="236"/>
      <c r="I62" s="236"/>
      <c r="J62" s="236">
        <f>J60/J59</f>
        <v>0.97308654250302817</v>
      </c>
      <c r="K62" s="236"/>
      <c r="L62" s="236"/>
      <c r="M62" s="269"/>
      <c r="N62" s="176">
        <f>J22</f>
        <v>0.6</v>
      </c>
      <c r="O62" s="471">
        <f>I22</f>
        <v>0.9</v>
      </c>
      <c r="P62" s="471"/>
      <c r="Q62" s="263"/>
      <c r="T62" s="263"/>
      <c r="U62" s="263"/>
      <c r="V62" s="263"/>
      <c r="W62" s="263"/>
      <c r="X62" s="263"/>
      <c r="Y62" s="263"/>
    </row>
    <row r="63" spans="3:25" ht="15">
      <c r="C63" s="269" t="s">
        <v>1898</v>
      </c>
      <c r="D63" s="272" t="s">
        <v>1911</v>
      </c>
      <c r="E63" s="273" t="s">
        <v>1911</v>
      </c>
      <c r="F63" s="274">
        <f>F58/F61</f>
        <v>0.51447661469933181</v>
      </c>
      <c r="G63" s="280" t="s">
        <v>1916</v>
      </c>
      <c r="H63" s="280"/>
      <c r="I63" s="273"/>
      <c r="J63" s="273">
        <f>F63*J62</f>
        <v>0.50063027019643536</v>
      </c>
      <c r="K63" s="280" t="s">
        <v>1924</v>
      </c>
      <c r="L63" s="280"/>
      <c r="M63" s="287"/>
      <c r="N63" s="176">
        <f>N62*J63</f>
        <v>0.30037816211786122</v>
      </c>
      <c r="O63" s="471">
        <f>O62*N63</f>
        <v>0.27034034590607509</v>
      </c>
      <c r="P63" s="471"/>
      <c r="Q63" s="263"/>
      <c r="T63" s="263"/>
      <c r="U63" s="263"/>
      <c r="V63" s="263"/>
      <c r="W63" s="263"/>
      <c r="X63" s="263"/>
      <c r="Y63" s="263"/>
    </row>
    <row r="64" spans="3:25" ht="15">
      <c r="C64" s="263"/>
      <c r="D64" s="263"/>
      <c r="E64" s="263"/>
      <c r="F64" s="176">
        <f>F61-F60</f>
        <v>155531.83946821181</v>
      </c>
      <c r="G64" s="263"/>
      <c r="K64" s="263"/>
      <c r="L64" s="263"/>
      <c r="M64" s="263"/>
      <c r="N64" s="263"/>
      <c r="O64" s="263"/>
      <c r="T64" s="408"/>
      <c r="U64" s="408"/>
      <c r="V64" s="408"/>
      <c r="W64" s="408"/>
      <c r="X64" s="408"/>
      <c r="Y64" s="408"/>
    </row>
    <row r="65" spans="3:25" ht="15">
      <c r="C65" s="263"/>
      <c r="D65" s="263"/>
      <c r="E65" s="263"/>
      <c r="F65" s="263"/>
      <c r="G65" s="263"/>
      <c r="T65" s="263"/>
      <c r="U65" s="263"/>
      <c r="V65" s="263"/>
      <c r="W65" s="263"/>
      <c r="X65" s="263"/>
      <c r="Y65" s="263"/>
    </row>
    <row r="66" spans="3:25" ht="15">
      <c r="D66" s="463" t="s">
        <v>1778</v>
      </c>
      <c r="E66" s="464"/>
      <c r="F66" s="464"/>
      <c r="G66" s="464"/>
      <c r="H66" s="464"/>
      <c r="I66" s="465"/>
      <c r="J66" s="469" t="s">
        <v>1917</v>
      </c>
      <c r="K66" s="475"/>
      <c r="L66" s="475"/>
      <c r="M66" s="475"/>
      <c r="N66" s="470"/>
      <c r="O66" s="263"/>
      <c r="P66" s="263"/>
      <c r="V66" s="263"/>
      <c r="W66" s="263"/>
      <c r="X66" s="263"/>
      <c r="Y66" s="263"/>
    </row>
    <row r="67" spans="3:25" ht="15">
      <c r="D67" s="159" t="s">
        <v>1741</v>
      </c>
      <c r="E67" s="159" t="s">
        <v>1769</v>
      </c>
      <c r="F67" s="268" t="s">
        <v>1901</v>
      </c>
      <c r="G67" s="277"/>
      <c r="H67" s="277"/>
      <c r="I67" s="277"/>
      <c r="J67" s="213" t="s">
        <v>1768</v>
      </c>
      <c r="K67" s="213" t="s">
        <v>1925</v>
      </c>
      <c r="L67" s="213" t="s">
        <v>1919</v>
      </c>
      <c r="M67" s="213" t="s">
        <v>1918</v>
      </c>
      <c r="N67" s="288" t="s">
        <v>1909</v>
      </c>
      <c r="O67" s="263"/>
      <c r="P67" s="263"/>
      <c r="V67" s="263"/>
      <c r="W67" s="263"/>
      <c r="X67" s="263"/>
      <c r="Y67" s="263"/>
    </row>
    <row r="68" spans="3:25" ht="15">
      <c r="C68" s="269" t="s">
        <v>1777</v>
      </c>
      <c r="D68" s="270">
        <f>E68</f>
        <v>197768.00871829502</v>
      </c>
      <c r="E68" s="236">
        <f>J68</f>
        <v>197768.00871829502</v>
      </c>
      <c r="F68" s="271">
        <f>D68</f>
        <v>197768.00871829502</v>
      </c>
      <c r="G68" s="275" t="s">
        <v>1920</v>
      </c>
      <c r="H68" s="349">
        <f>F68/'Thermodynamic data'!B10</f>
        <v>5935.9846984032174</v>
      </c>
      <c r="I68" s="358" t="s">
        <v>1956</v>
      </c>
      <c r="J68" s="236">
        <f>M68</f>
        <v>197768.00871829502</v>
      </c>
      <c r="K68" s="176" t="s">
        <v>1911</v>
      </c>
      <c r="L68" s="236">
        <f>M68</f>
        <v>197768.00871829502</v>
      </c>
      <c r="M68" s="236">
        <f>M69</f>
        <v>197768.00871829502</v>
      </c>
      <c r="N68" s="271" t="s">
        <v>1911</v>
      </c>
      <c r="O68" s="263"/>
      <c r="P68" s="263"/>
      <c r="V68" s="263"/>
      <c r="W68" s="263"/>
      <c r="X68" s="263"/>
      <c r="Y68" s="263"/>
    </row>
    <row r="69" spans="3:25" ht="15">
      <c r="C69" s="269" t="s">
        <v>1899</v>
      </c>
      <c r="D69" s="270">
        <f>D68/D72</f>
        <v>282525.72674042149</v>
      </c>
      <c r="E69" s="236">
        <f>E68+E71</f>
        <v>266354.22049602028</v>
      </c>
      <c r="F69" s="271">
        <f>SUM(D69:E69)-F70</f>
        <v>351111.93851814675</v>
      </c>
      <c r="G69" s="236"/>
      <c r="J69" s="236">
        <f>J68+((J68/33.33)*12)</f>
        <v>268971.61221723113</v>
      </c>
      <c r="K69" s="176" t="s">
        <v>1911</v>
      </c>
      <c r="L69" s="236">
        <f>M69</f>
        <v>197768.00871829502</v>
      </c>
      <c r="M69" s="236">
        <f>M70/M72</f>
        <v>197768.00871829502</v>
      </c>
      <c r="N69" s="271">
        <f>N70/N72</f>
        <v>98884.004359147511</v>
      </c>
      <c r="O69" s="263"/>
      <c r="P69" s="263"/>
      <c r="V69" s="263"/>
      <c r="W69" s="263"/>
      <c r="X69" s="263"/>
      <c r="Y69" s="263"/>
    </row>
    <row r="70" spans="3:25" ht="15">
      <c r="C70" s="269" t="s">
        <v>1900</v>
      </c>
      <c r="D70" s="270">
        <f>D68</f>
        <v>197768.00871829502</v>
      </c>
      <c r="E70" s="236">
        <f>E68</f>
        <v>197768.00871829502</v>
      </c>
      <c r="F70" s="271">
        <f>J68</f>
        <v>197768.00871829502</v>
      </c>
      <c r="G70" s="236"/>
      <c r="H70" s="236"/>
      <c r="I70" s="236"/>
      <c r="J70" s="236">
        <f>L69</f>
        <v>197768.00871829502</v>
      </c>
      <c r="K70" s="176" t="s">
        <v>1911</v>
      </c>
      <c r="L70" s="236">
        <f>L69*L72</f>
        <v>79107.203487318009</v>
      </c>
      <c r="M70" s="236">
        <f>N69</f>
        <v>98884.004359147511</v>
      </c>
      <c r="N70" s="271">
        <f>SUM(D20:F20)</f>
        <v>88995.60392323276</v>
      </c>
      <c r="O70" s="263"/>
      <c r="P70" s="263"/>
      <c r="V70" s="263"/>
      <c r="W70" s="263"/>
      <c r="X70" s="263"/>
      <c r="Y70" s="263"/>
    </row>
    <row r="71" spans="3:25" ht="15">
      <c r="C71" s="269" t="s">
        <v>1902</v>
      </c>
      <c r="D71" s="270">
        <f>D68/D72</f>
        <v>282525.72674042149</v>
      </c>
      <c r="E71" s="236">
        <f>(E68/E72)-E68</f>
        <v>68586.211777725257</v>
      </c>
      <c r="F71" s="271">
        <f>SUM(D71:E71)</f>
        <v>351111.93851814675</v>
      </c>
      <c r="G71" s="275" t="s">
        <v>1921</v>
      </c>
      <c r="H71" s="276"/>
      <c r="I71" s="236"/>
      <c r="J71" s="236">
        <f>(J69-J70)</f>
        <v>71203.603498936107</v>
      </c>
      <c r="K71" s="176">
        <f>L71-J71</f>
        <v>7903.5999883819022</v>
      </c>
      <c r="L71" s="236">
        <f>L70</f>
        <v>79107.203487318009</v>
      </c>
      <c r="M71" s="236" t="s">
        <v>1911</v>
      </c>
      <c r="N71" s="271">
        <f>N69-N70</f>
        <v>9888.4004359147511</v>
      </c>
      <c r="O71" s="263"/>
      <c r="P71" s="263"/>
      <c r="V71" s="263"/>
      <c r="W71" s="263"/>
      <c r="X71" s="263"/>
      <c r="Y71" s="263"/>
    </row>
    <row r="72" spans="3:25" ht="15">
      <c r="C72" s="269" t="s">
        <v>1652</v>
      </c>
      <c r="D72" s="272">
        <v>0.7</v>
      </c>
      <c r="E72" s="273">
        <f>M36</f>
        <v>0.74249999999999994</v>
      </c>
      <c r="F72" s="54"/>
      <c r="G72" s="236"/>
      <c r="H72" s="236"/>
      <c r="I72" s="236"/>
      <c r="J72" s="236">
        <f>L36</f>
        <v>0.73519753644974384</v>
      </c>
      <c r="K72" s="176"/>
      <c r="L72" s="236">
        <v>0.4</v>
      </c>
      <c r="M72" s="236">
        <f>M22</f>
        <v>0.5</v>
      </c>
      <c r="N72" s="271">
        <f>I22</f>
        <v>0.9</v>
      </c>
      <c r="O72" s="263"/>
      <c r="P72" s="263"/>
    </row>
    <row r="73" spans="3:25" ht="15.75" thickBot="1">
      <c r="C73" s="269" t="s">
        <v>1898</v>
      </c>
      <c r="D73" s="272" t="s">
        <v>1911</v>
      </c>
      <c r="E73" s="273" t="s">
        <v>1911</v>
      </c>
      <c r="F73" s="274">
        <f>F68/F69</f>
        <v>0.56326198862096977</v>
      </c>
      <c r="G73" s="280" t="s">
        <v>1922</v>
      </c>
      <c r="H73" s="280"/>
      <c r="I73" s="273"/>
      <c r="J73" s="302">
        <f>1*F73</f>
        <v>0.56326198862096977</v>
      </c>
      <c r="K73" s="302"/>
      <c r="L73" s="302"/>
      <c r="M73" s="273">
        <f>M72*J73</f>
        <v>0.28163099431048488</v>
      </c>
      <c r="N73" s="274">
        <f>N72*M73</f>
        <v>0.25346789487943638</v>
      </c>
      <c r="O73" s="263"/>
      <c r="P73" s="263"/>
    </row>
    <row r="74" spans="3:25" ht="15.75" thickBot="1">
      <c r="C74" s="263"/>
      <c r="D74" s="263"/>
      <c r="E74" s="263"/>
      <c r="F74" s="176">
        <f>F71-F70</f>
        <v>153343.92979985173</v>
      </c>
      <c r="G74" s="263"/>
      <c r="J74" s="472" t="s">
        <v>1959</v>
      </c>
      <c r="K74" s="473"/>
      <c r="L74" s="474"/>
    </row>
    <row r="75" spans="3:25" ht="15">
      <c r="C75" s="263"/>
      <c r="D75" s="263"/>
      <c r="E75" s="263"/>
      <c r="F75" s="263"/>
      <c r="G75" s="263"/>
    </row>
    <row r="76" spans="3:25" ht="15">
      <c r="C76" s="263"/>
      <c r="D76" s="263"/>
      <c r="E76" s="263"/>
      <c r="F76" s="263"/>
      <c r="G76" s="263"/>
    </row>
    <row r="77" spans="3:25" ht="15">
      <c r="C77" s="263"/>
      <c r="D77" s="463" t="s">
        <v>1960</v>
      </c>
      <c r="E77" s="464"/>
      <c r="F77" s="465"/>
      <c r="G77" s="348"/>
      <c r="H77" s="348"/>
      <c r="I77" s="348"/>
    </row>
    <row r="78" spans="3:25" ht="15">
      <c r="C78" s="362"/>
      <c r="D78" s="359" t="s">
        <v>1951</v>
      </c>
      <c r="E78" s="360" t="s">
        <v>1931</v>
      </c>
      <c r="F78" s="361" t="s">
        <v>1749</v>
      </c>
      <c r="G78" s="263"/>
    </row>
    <row r="79" spans="3:25" ht="15">
      <c r="C79" s="374" t="s">
        <v>1962</v>
      </c>
      <c r="D79" s="375">
        <f>L48/'Thermodynamic data'!B10</f>
        <v>4959.0515441965053</v>
      </c>
      <c r="E79" s="277">
        <f>J58/'Thermodynamic data'!E19</f>
        <v>31558.724795472608</v>
      </c>
      <c r="F79" s="376">
        <f>F68/'Thermodynamic data'!E8</f>
        <v>101057.29282159249</v>
      </c>
      <c r="G79" s="353"/>
    </row>
    <row r="80" spans="3:25" ht="15">
      <c r="C80" s="363" t="s">
        <v>1952</v>
      </c>
      <c r="D80" s="350">
        <f>L48/'Thermodynamic data'!B27</f>
        <v>82609.861620006268</v>
      </c>
      <c r="E80" s="351">
        <f>J58/'Thermodynamic data'!E24</f>
        <v>48415.775352809556</v>
      </c>
      <c r="F80" s="271">
        <f>F68/'Thermodynamic data'!E11</f>
        <v>115744.24474082615</v>
      </c>
      <c r="G80" s="263"/>
    </row>
    <row r="81" spans="3:38" ht="15">
      <c r="C81" s="364" t="s">
        <v>1950</v>
      </c>
      <c r="D81" s="272">
        <f>L48/'Thermodynamic data'!B26</f>
        <v>137.43559894144494</v>
      </c>
      <c r="E81" s="273">
        <f>J58/'Thermodynamic data'!E23</f>
        <v>70.99295485616814</v>
      </c>
      <c r="F81" s="274">
        <f>F68/'Thermodynamic data'!E10</f>
        <v>115.35105063272739</v>
      </c>
      <c r="G81" s="263"/>
    </row>
    <row r="83" spans="3:38" ht="15">
      <c r="H83" s="348"/>
      <c r="I83" s="348"/>
      <c r="J83" s="348"/>
    </row>
    <row r="84" spans="3:38" ht="15">
      <c r="G84" s="263"/>
      <c r="H84" s="348"/>
      <c r="I84" s="348"/>
      <c r="J84" s="348"/>
      <c r="K84" s="263"/>
      <c r="M84" s="263"/>
      <c r="P84" s="263"/>
    </row>
    <row r="85" spans="3:38" ht="15">
      <c r="G85" s="263"/>
      <c r="H85" s="348"/>
      <c r="I85" s="348"/>
      <c r="J85" s="348"/>
      <c r="K85" s="263"/>
      <c r="M85" s="263"/>
      <c r="N85" s="263"/>
      <c r="O85" s="263"/>
      <c r="P85" s="263"/>
    </row>
    <row r="86" spans="3:38" ht="15">
      <c r="C86" s="264"/>
      <c r="D86" s="463" t="s">
        <v>1961</v>
      </c>
      <c r="E86" s="464"/>
      <c r="F86" s="465"/>
      <c r="G86" s="263"/>
      <c r="H86" s="348"/>
      <c r="I86" s="348"/>
      <c r="J86" s="348"/>
      <c r="K86" s="263"/>
      <c r="O86" s="263"/>
      <c r="P86" s="263"/>
    </row>
    <row r="87" spans="3:38" ht="15">
      <c r="C87" s="362"/>
      <c r="D87" s="359" t="s">
        <v>1951</v>
      </c>
      <c r="E87" s="360" t="s">
        <v>1931</v>
      </c>
      <c r="F87" s="361" t="s">
        <v>1749</v>
      </c>
      <c r="G87" s="263"/>
      <c r="H87" s="348"/>
      <c r="I87" s="348"/>
      <c r="J87" s="348"/>
      <c r="K87" s="263"/>
      <c r="O87" s="263"/>
      <c r="P87" s="263"/>
      <c r="AH87" s="263"/>
    </row>
    <row r="88" spans="3:38" ht="15">
      <c r="C88" s="363" t="s">
        <v>1953</v>
      </c>
      <c r="D88" s="350">
        <f>F49*'Cost and emission analysis'!K47</f>
        <v>4943.3104132865537</v>
      </c>
      <c r="E88" s="351">
        <f>F59*'Cost and emission analysis'!K47</f>
        <v>5445.7547278021138</v>
      </c>
      <c r="F88" s="271">
        <f>F69*'Cost and emission analysis'!K47</f>
        <v>5968.9029548084955</v>
      </c>
      <c r="G88" s="263"/>
      <c r="H88" s="348"/>
      <c r="I88" s="348"/>
      <c r="J88" s="348"/>
      <c r="K88" s="263"/>
      <c r="O88" s="263"/>
      <c r="P88" s="263"/>
      <c r="AH88" s="263"/>
      <c r="AI88" s="263"/>
      <c r="AJ88" s="263"/>
      <c r="AK88" s="263"/>
      <c r="AL88" s="263"/>
    </row>
    <row r="89" spans="3:38" ht="15">
      <c r="C89" s="364" t="s">
        <v>1954</v>
      </c>
      <c r="D89" s="272">
        <f>(I17*'Cost and emission analysis'!L12*'Supply chains'!D19)+(I17*'Cost and emission analysis'!L12*'Supply chains'!D20)</f>
        <v>552.73146610421838</v>
      </c>
      <c r="E89" s="273">
        <f>(I27*'Cost and emission analysis'!L12*'Supply chains'!E19)+(I27*'Cost and emission analysis'!L12*'Supply chains'!E20)</f>
        <v>870.78934027965158</v>
      </c>
      <c r="F89" s="274">
        <v>0</v>
      </c>
      <c r="G89" s="263"/>
      <c r="H89" s="348"/>
      <c r="I89" s="348"/>
      <c r="J89" s="348"/>
      <c r="K89" s="263"/>
      <c r="O89" s="263"/>
      <c r="P89" s="263"/>
      <c r="AH89" s="263"/>
      <c r="AI89" s="263"/>
      <c r="AJ89" s="263"/>
      <c r="AK89" s="263"/>
      <c r="AL89" s="263"/>
    </row>
    <row r="90" spans="3:38" ht="15">
      <c r="C90" s="263"/>
      <c r="D90" s="263"/>
      <c r="E90" s="263"/>
      <c r="F90" s="263"/>
      <c r="G90" s="263"/>
      <c r="H90" s="263"/>
      <c r="I90" s="263"/>
      <c r="J90" s="263"/>
      <c r="K90" s="263"/>
      <c r="O90" s="263"/>
      <c r="P90" s="263"/>
      <c r="AH90" s="263"/>
      <c r="AI90" s="263"/>
      <c r="AJ90" s="263"/>
      <c r="AK90" s="263"/>
      <c r="AL90" s="263"/>
    </row>
    <row r="91" spans="3:38" ht="15">
      <c r="C91" s="263"/>
      <c r="D91" s="263"/>
      <c r="E91" s="263"/>
      <c r="F91" s="263"/>
      <c r="G91" s="263"/>
      <c r="H91" s="263"/>
      <c r="I91" s="263"/>
      <c r="J91" s="263"/>
      <c r="K91" s="263"/>
      <c r="O91" s="263"/>
      <c r="P91" s="263"/>
      <c r="AL91" s="263"/>
    </row>
    <row r="92" spans="3:38" ht="15">
      <c r="C92" s="263"/>
      <c r="D92" s="263"/>
      <c r="E92" s="263"/>
      <c r="F92" s="263"/>
      <c r="G92" s="263"/>
      <c r="H92" s="263"/>
      <c r="I92" s="263"/>
      <c r="J92" s="263"/>
      <c r="K92" s="263"/>
      <c r="O92" s="263"/>
      <c r="P92" s="263"/>
      <c r="AL92" s="263"/>
    </row>
    <row r="93" spans="3:38" ht="15">
      <c r="C93" s="89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AL93" s="263"/>
    </row>
    <row r="94" spans="3:38" ht="15">
      <c r="C94" s="149"/>
      <c r="D94" s="263"/>
      <c r="E94" s="263"/>
      <c r="F94" s="263"/>
      <c r="G94" s="263"/>
      <c r="H94" s="263"/>
      <c r="I94" s="263"/>
      <c r="J94" s="263"/>
      <c r="K94" s="408"/>
      <c r="L94" s="408"/>
      <c r="M94" s="408"/>
      <c r="N94" s="408"/>
      <c r="O94" s="408"/>
      <c r="P94" s="408"/>
    </row>
    <row r="95" spans="3:38" ht="15.75" thickBot="1"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</row>
    <row r="96" spans="3:38" ht="15.75" thickBot="1">
      <c r="C96" s="263"/>
      <c r="D96" s="263"/>
      <c r="E96" s="377"/>
      <c r="F96" s="379" t="s">
        <v>1970</v>
      </c>
      <c r="G96" s="263"/>
      <c r="H96" s="263"/>
      <c r="I96" s="263"/>
      <c r="J96" s="263"/>
      <c r="K96" s="263"/>
      <c r="L96" s="263"/>
      <c r="M96" s="263"/>
      <c r="N96" s="263"/>
      <c r="O96" s="263"/>
      <c r="P96" s="263"/>
    </row>
    <row r="97" spans="3:19" ht="15">
      <c r="C97" s="263"/>
      <c r="D97" s="263"/>
      <c r="E97" s="383" t="s">
        <v>1966</v>
      </c>
      <c r="F97" s="380">
        <v>685</v>
      </c>
      <c r="G97" s="263"/>
      <c r="H97" s="263"/>
      <c r="I97" s="263"/>
      <c r="J97" s="263"/>
      <c r="K97" s="263"/>
      <c r="L97" s="263"/>
      <c r="M97" s="263"/>
      <c r="N97" s="263"/>
      <c r="O97" s="263"/>
      <c r="P97" s="263"/>
    </row>
    <row r="98" spans="3:19" ht="15">
      <c r="E98" s="384" t="s">
        <v>1967</v>
      </c>
      <c r="F98" s="380">
        <v>734</v>
      </c>
    </row>
    <row r="99" spans="3:19">
      <c r="E99" s="380"/>
      <c r="F99" s="380"/>
    </row>
    <row r="100" spans="3:19" ht="15">
      <c r="E100" s="384" t="s">
        <v>1968</v>
      </c>
      <c r="F100" s="381">
        <f>F97*'Thermodynamic data'!$H$6*SUM($D$19:$F$19)*'Thermodynamic data'!$H$6</f>
        <v>129.7029787463278</v>
      </c>
      <c r="G100" s="377"/>
      <c r="H100" s="377"/>
      <c r="I100" s="377"/>
    </row>
    <row r="101" spans="3:19" ht="15.75" thickBot="1">
      <c r="E101" s="385" t="s">
        <v>1969</v>
      </c>
      <c r="F101" s="382">
        <f>F98*'Thermodynamic data'!$H$6*SUM($D$19:$F$19)*'Thermodynamic data'!$H$6</f>
        <v>138.98100204351036</v>
      </c>
      <c r="G101" s="377"/>
      <c r="H101" s="377"/>
      <c r="I101" s="377"/>
    </row>
    <row r="102" spans="3:19" ht="15">
      <c r="F102" s="377"/>
      <c r="G102" s="377"/>
      <c r="H102" s="377"/>
      <c r="I102" s="377"/>
      <c r="Q102" s="263"/>
      <c r="R102" s="263"/>
      <c r="S102" s="263"/>
    </row>
    <row r="103" spans="3:19" ht="15">
      <c r="F103" s="377"/>
      <c r="G103" s="377"/>
      <c r="H103" s="377"/>
      <c r="I103" s="377"/>
      <c r="M103" s="263"/>
      <c r="N103" s="263"/>
      <c r="Q103" s="263"/>
      <c r="R103" s="263"/>
      <c r="S103" s="263"/>
    </row>
    <row r="104" spans="3:19" ht="15">
      <c r="F104" s="377"/>
      <c r="G104" s="377"/>
      <c r="H104" s="377"/>
      <c r="I104" s="377"/>
    </row>
    <row r="105" spans="3:19" ht="15">
      <c r="F105" s="377"/>
      <c r="G105" s="377"/>
      <c r="H105" s="377"/>
      <c r="I105" s="377"/>
    </row>
    <row r="106" spans="3:19" ht="15">
      <c r="F106" s="377"/>
      <c r="G106" s="377"/>
      <c r="H106" s="377"/>
      <c r="I106" s="377"/>
    </row>
    <row r="107" spans="3:19" ht="15">
      <c r="F107" s="377"/>
      <c r="G107" s="377"/>
      <c r="H107" s="377"/>
      <c r="I107" s="377"/>
    </row>
    <row r="108" spans="3:19" ht="15">
      <c r="F108" s="377"/>
      <c r="G108" s="377"/>
      <c r="H108" s="377"/>
      <c r="I108" s="377"/>
    </row>
    <row r="109" spans="3:19" ht="15">
      <c r="F109" s="377"/>
      <c r="G109" s="377"/>
      <c r="H109" s="377"/>
      <c r="I109" s="377"/>
    </row>
    <row r="110" spans="3:19" ht="15">
      <c r="F110" s="377"/>
      <c r="G110" s="377"/>
      <c r="H110" s="377"/>
      <c r="I110" s="377"/>
    </row>
    <row r="111" spans="3:19" ht="15">
      <c r="F111" s="377"/>
      <c r="G111" s="377"/>
      <c r="H111" s="377"/>
      <c r="I111" s="377"/>
    </row>
    <row r="112" spans="3:19" ht="15">
      <c r="F112" s="377"/>
      <c r="G112" s="377"/>
      <c r="H112" s="377"/>
      <c r="I112" s="377"/>
    </row>
    <row r="123" spans="28:29" ht="15">
      <c r="AB123" s="263"/>
      <c r="AC123" s="263"/>
    </row>
    <row r="124" spans="28:29" ht="15">
      <c r="AB124" s="263"/>
      <c r="AC124" s="263"/>
    </row>
    <row r="125" spans="28:29" ht="15">
      <c r="AB125" s="263"/>
      <c r="AC125" s="263"/>
    </row>
    <row r="126" spans="28:29" ht="15">
      <c r="AB126" s="263"/>
      <c r="AC126" s="263"/>
    </row>
    <row r="127" spans="28:29" ht="15">
      <c r="AB127" s="263"/>
      <c r="AC127" s="263"/>
    </row>
    <row r="128" spans="28:29" ht="15">
      <c r="AB128" s="263"/>
      <c r="AC128" s="263"/>
    </row>
    <row r="129" spans="28:29" ht="15">
      <c r="AB129" s="263"/>
      <c r="AC129" s="263"/>
    </row>
  </sheetData>
  <mergeCells count="52">
    <mergeCell ref="D77:F77"/>
    <mergeCell ref="D86:F86"/>
    <mergeCell ref="H33:K33"/>
    <mergeCell ref="H34:K34"/>
    <mergeCell ref="O60:P60"/>
    <mergeCell ref="K46:P46"/>
    <mergeCell ref="N56:P56"/>
    <mergeCell ref="C42:D42"/>
    <mergeCell ref="C39:D39"/>
    <mergeCell ref="C41:E41"/>
    <mergeCell ref="T58:Y58"/>
    <mergeCell ref="T59:Y59"/>
    <mergeCell ref="L60:M60"/>
    <mergeCell ref="K58:L58"/>
    <mergeCell ref="O58:P58"/>
    <mergeCell ref="O59:P59"/>
    <mergeCell ref="K94:P94"/>
    <mergeCell ref="C44:E44"/>
    <mergeCell ref="C45:D45"/>
    <mergeCell ref="S53:U53"/>
    <mergeCell ref="D56:I56"/>
    <mergeCell ref="G48:I48"/>
    <mergeCell ref="D46:I46"/>
    <mergeCell ref="Q46:R46"/>
    <mergeCell ref="O61:P61"/>
    <mergeCell ref="O62:P62"/>
    <mergeCell ref="O63:P63"/>
    <mergeCell ref="G58:I58"/>
    <mergeCell ref="J74:L74"/>
    <mergeCell ref="D66:I66"/>
    <mergeCell ref="T64:Y64"/>
    <mergeCell ref="J66:N66"/>
    <mergeCell ref="B6:C6"/>
    <mergeCell ref="C11:F11"/>
    <mergeCell ref="E12:F12"/>
    <mergeCell ref="C38:E38"/>
    <mergeCell ref="C32:D32"/>
    <mergeCell ref="C35:D35"/>
    <mergeCell ref="C26:E26"/>
    <mergeCell ref="C27:D27"/>
    <mergeCell ref="C22:E22"/>
    <mergeCell ref="C29:D29"/>
    <mergeCell ref="C36:D36"/>
    <mergeCell ref="C28:D28"/>
    <mergeCell ref="C31:E31"/>
    <mergeCell ref="C33:D33"/>
    <mergeCell ref="C34:D34"/>
    <mergeCell ref="A1:C1"/>
    <mergeCell ref="B2:C2"/>
    <mergeCell ref="B3:C3"/>
    <mergeCell ref="B4:C4"/>
    <mergeCell ref="B5:C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40941-B35D-4008-8C9A-1D374A75EE6D}">
  <dimension ref="A1:J70"/>
  <sheetViews>
    <sheetView tabSelected="1" topLeftCell="C24" zoomScale="145" zoomScaleNormal="145" workbookViewId="0">
      <selection activeCell="D60" sqref="D60"/>
    </sheetView>
  </sheetViews>
  <sheetFormatPr baseColWidth="10" defaultColWidth="11.42578125" defaultRowHeight="15"/>
  <cols>
    <col min="1" max="1" width="66.42578125" style="89" customWidth="1"/>
    <col min="2" max="2" width="28.28515625" style="89" customWidth="1"/>
    <col min="3" max="3" width="6" style="89" customWidth="1"/>
    <col min="4" max="4" width="62.28515625" style="89" customWidth="1"/>
    <col min="5" max="5" width="12.42578125" style="89" customWidth="1"/>
    <col min="6" max="6" width="5.28515625" style="89" customWidth="1"/>
    <col min="7" max="7" width="34.7109375" style="89" customWidth="1"/>
    <col min="8" max="8" width="14.7109375" style="89" bestFit="1" customWidth="1"/>
    <col min="9" max="9" width="30.42578125" style="89" customWidth="1"/>
    <col min="10" max="10" width="11.42578125" style="89" customWidth="1"/>
    <col min="11" max="11" width="18.28515625" style="89" customWidth="1"/>
    <col min="12" max="12" width="15" style="89" customWidth="1"/>
    <col min="13" max="13" width="17.42578125" style="89" customWidth="1"/>
    <col min="14" max="14" width="18.140625" style="89" customWidth="1"/>
    <col min="15" max="15" width="20.5703125" style="89" customWidth="1"/>
    <col min="16" max="16" width="18.85546875" style="89" customWidth="1"/>
    <col min="17" max="17" width="19.42578125" style="89" customWidth="1"/>
    <col min="18" max="18" width="11.42578125" style="89"/>
    <col min="19" max="19" width="8" style="89" customWidth="1"/>
    <col min="20" max="16384" width="11.42578125" style="89"/>
  </cols>
  <sheetData>
    <row r="1" spans="1:10" ht="15.75" thickBot="1">
      <c r="A1" s="491" t="s">
        <v>1618</v>
      </c>
      <c r="B1" s="492"/>
      <c r="C1" s="492"/>
      <c r="D1" s="492"/>
      <c r="E1" s="492"/>
      <c r="F1" s="492"/>
      <c r="G1" s="492"/>
      <c r="H1" s="493"/>
    </row>
    <row r="2" spans="1:10" ht="15.75" thickBot="1">
      <c r="A2" s="494" t="s">
        <v>1617</v>
      </c>
      <c r="B2" s="495"/>
      <c r="D2" s="485" t="s">
        <v>1616</v>
      </c>
      <c r="E2" s="486"/>
      <c r="G2" s="485" t="s">
        <v>1615</v>
      </c>
      <c r="H2" s="486"/>
    </row>
    <row r="3" spans="1:10">
      <c r="A3" s="90" t="s">
        <v>1614</v>
      </c>
      <c r="B3" s="91">
        <v>241.8</v>
      </c>
      <c r="D3" s="485" t="s">
        <v>1613</v>
      </c>
      <c r="E3" s="486"/>
      <c r="G3" s="92" t="s">
        <v>1612</v>
      </c>
      <c r="H3" s="150">
        <f>1/3600</f>
        <v>2.7777777777777778E-4</v>
      </c>
    </row>
    <row r="4" spans="1:10">
      <c r="A4" s="90" t="s">
        <v>1611</v>
      </c>
      <c r="B4" s="93">
        <v>285.8</v>
      </c>
      <c r="D4" s="94" t="s">
        <v>1610</v>
      </c>
      <c r="E4" s="95">
        <f>0.89422/H6</f>
        <v>894.22</v>
      </c>
      <c r="G4" s="96" t="s">
        <v>1609</v>
      </c>
      <c r="H4" s="97">
        <f>1/(2*B5*10^-3)</f>
        <v>496.03174603174602</v>
      </c>
      <c r="J4"/>
    </row>
    <row r="5" spans="1:10">
      <c r="A5" s="90" t="s">
        <v>1608</v>
      </c>
      <c r="B5" s="93">
        <v>1.008</v>
      </c>
      <c r="D5" s="98" t="s">
        <v>1607</v>
      </c>
      <c r="E5" s="99">
        <v>913.42</v>
      </c>
      <c r="G5" s="96" t="s">
        <v>1606</v>
      </c>
      <c r="H5" s="97">
        <v>24</v>
      </c>
      <c r="J5"/>
    </row>
    <row r="6" spans="1:10">
      <c r="A6" s="90" t="s">
        <v>1605</v>
      </c>
      <c r="B6" s="93">
        <v>228.6</v>
      </c>
      <c r="D6" s="100" t="s">
        <v>1599</v>
      </c>
      <c r="E6" s="101">
        <f>E4*E7</f>
        <v>53.653199999999998</v>
      </c>
      <c r="G6" s="96" t="s">
        <v>1802</v>
      </c>
      <c r="H6" s="97">
        <f>10^-3</f>
        <v>1E-3</v>
      </c>
    </row>
    <row r="7" spans="1:10" ht="15.75" thickBot="1">
      <c r="A7" s="102" t="s">
        <v>1604</v>
      </c>
      <c r="B7" s="103">
        <v>237.1</v>
      </c>
      <c r="D7" s="104" t="s">
        <v>1682</v>
      </c>
      <c r="E7" s="107">
        <f>0.06</f>
        <v>0.06</v>
      </c>
      <c r="G7" s="96" t="s">
        <v>1603</v>
      </c>
      <c r="H7" s="97">
        <f xml:space="preserve"> 1000</f>
        <v>1000</v>
      </c>
    </row>
    <row r="8" spans="1:10">
      <c r="A8" s="105" t="s">
        <v>1602</v>
      </c>
      <c r="B8" s="106">
        <f>B3*H4</f>
        <v>119940.4761904762</v>
      </c>
      <c r="D8" s="100" t="s">
        <v>1753</v>
      </c>
      <c r="E8" s="107">
        <f>(B10*E6)/E5</f>
        <v>1.9569889831448042</v>
      </c>
      <c r="G8" s="96" t="s">
        <v>1601</v>
      </c>
      <c r="H8" s="97">
        <f>1/3600</f>
        <v>2.7777777777777778E-4</v>
      </c>
    </row>
    <row r="9" spans="1:10">
      <c r="A9" s="100" t="s">
        <v>1600</v>
      </c>
      <c r="B9" s="101">
        <f>B4*H4</f>
        <v>141765.87301587302</v>
      </c>
      <c r="D9" s="100" t="s">
        <v>1595</v>
      </c>
      <c r="E9" s="101">
        <f>B10*E6</f>
        <v>1787.5528769841269</v>
      </c>
      <c r="G9" s="96" t="s">
        <v>1598</v>
      </c>
      <c r="H9" s="97">
        <f>273.15</f>
        <v>273.14999999999998</v>
      </c>
    </row>
    <row r="10" spans="1:10" ht="15.75" thickBot="1">
      <c r="A10" s="100" t="s">
        <v>1597</v>
      </c>
      <c r="B10" s="101">
        <f>B8*H3</f>
        <v>33.316798941798943</v>
      </c>
      <c r="D10" s="125" t="s">
        <v>1698</v>
      </c>
      <c r="E10" s="133">
        <f>((E5*120)*E8)/(((PI())/4)*((3)^2)*17.7)</f>
        <v>1714.488144091375</v>
      </c>
      <c r="G10" s="108" t="s">
        <v>1671</v>
      </c>
      <c r="H10" s="109">
        <v>1000</v>
      </c>
    </row>
    <row r="11" spans="1:10" ht="15.75" thickBot="1">
      <c r="A11" s="100" t="s">
        <v>1596</v>
      </c>
      <c r="B11" s="101">
        <f>B9*H3</f>
        <v>39.379409171075835</v>
      </c>
      <c r="D11" s="134" t="s">
        <v>1699</v>
      </c>
      <c r="E11" s="136">
        <f>(E10*(((PI())/4)*((3)^2)*17.7))/(E5*120+15930)</f>
        <v>1.7086638662780687</v>
      </c>
    </row>
    <row r="12" spans="1:10" ht="15.75" thickBot="1">
      <c r="A12" s="100" t="s">
        <v>1593</v>
      </c>
      <c r="B12" s="101">
        <f>B6*H4</f>
        <v>113392.85714285714</v>
      </c>
      <c r="D12"/>
      <c r="E12"/>
      <c r="G12" s="485" t="s">
        <v>1594</v>
      </c>
      <c r="H12" s="486"/>
    </row>
    <row r="13" spans="1:10">
      <c r="A13" s="100" t="s">
        <v>1591</v>
      </c>
      <c r="B13" s="101">
        <f>B7*H4</f>
        <v>117609.12698412698</v>
      </c>
      <c r="D13" s="485" t="s">
        <v>1590</v>
      </c>
      <c r="E13" s="486"/>
      <c r="G13" s="110" t="s">
        <v>1592</v>
      </c>
      <c r="H13" s="111">
        <v>999.94232708829998</v>
      </c>
    </row>
    <row r="14" spans="1:10" ht="15.75" thickBot="1">
      <c r="A14" s="100" t="s">
        <v>1588</v>
      </c>
      <c r="B14" s="101">
        <f>B12*H3</f>
        <v>31.498015873015873</v>
      </c>
      <c r="D14" s="127" t="s">
        <v>1587</v>
      </c>
      <c r="E14" s="128">
        <v>1044</v>
      </c>
      <c r="G14" s="112" t="s">
        <v>1649</v>
      </c>
      <c r="H14" s="113">
        <v>999.10260000000005</v>
      </c>
    </row>
    <row r="15" spans="1:10" ht="15.75" thickBot="1">
      <c r="A15" s="100" t="s">
        <v>1585</v>
      </c>
      <c r="B15" s="101">
        <f>B13*H3</f>
        <v>32.669201940035272</v>
      </c>
      <c r="G15" s="110" t="s">
        <v>1589</v>
      </c>
      <c r="H15" s="111">
        <f>84.011811167136</f>
        <v>84.011811167136003</v>
      </c>
    </row>
    <row r="16" spans="1:10">
      <c r="A16" s="114" t="s">
        <v>1695</v>
      </c>
      <c r="B16" s="115">
        <v>8.2659999999999997E-2</v>
      </c>
      <c r="D16" s="489" t="s">
        <v>1580</v>
      </c>
      <c r="E16" s="490"/>
      <c r="G16" s="100" t="s">
        <v>1586</v>
      </c>
      <c r="H16" s="116">
        <v>334.99054446079998</v>
      </c>
    </row>
    <row r="17" spans="1:8" ht="15.75" thickBot="1">
      <c r="A17" s="117" t="s">
        <v>1582</v>
      </c>
      <c r="B17" s="118">
        <f>$B$10*B16</f>
        <v>2.7539666005291004</v>
      </c>
      <c r="D17" s="129" t="s">
        <v>1639</v>
      </c>
      <c r="E17" s="99">
        <v>681.98</v>
      </c>
      <c r="G17" s="112" t="s">
        <v>1763</v>
      </c>
      <c r="H17" s="113">
        <f>18.015</f>
        <v>18.015000000000001</v>
      </c>
    </row>
    <row r="18" spans="1:8" ht="15.75" thickBot="1">
      <c r="A18" s="114" t="s">
        <v>1583</v>
      </c>
      <c r="B18" s="119">
        <f>23.4</f>
        <v>23.4</v>
      </c>
      <c r="D18" s="129" t="s">
        <v>1578</v>
      </c>
      <c r="E18" s="99">
        <v>18800</v>
      </c>
      <c r="G18" s="117" t="s">
        <v>1584</v>
      </c>
      <c r="H18" s="120">
        <f>H21/H17</f>
        <v>0.88809325562031638</v>
      </c>
    </row>
    <row r="19" spans="1:8" ht="15.75" thickBot="1">
      <c r="A19" s="117" t="s">
        <v>1582</v>
      </c>
      <c r="B19" s="118">
        <f>$B$10*B18</f>
        <v>779.61309523809518</v>
      </c>
      <c r="D19" s="130" t="s">
        <v>1575</v>
      </c>
      <c r="E19" s="116">
        <f>E18*H3</f>
        <v>5.2222222222222223</v>
      </c>
    </row>
    <row r="20" spans="1:8" ht="15.75" thickBot="1">
      <c r="A20" s="112" t="s">
        <v>1579</v>
      </c>
      <c r="B20" s="99">
        <f>39.1</f>
        <v>39.1</v>
      </c>
      <c r="D20" s="131" t="s">
        <v>1640</v>
      </c>
      <c r="E20" s="121">
        <f>E17*E19</f>
        <v>3561.4511111111115</v>
      </c>
      <c r="G20" s="485" t="s">
        <v>1581</v>
      </c>
      <c r="H20" s="486"/>
    </row>
    <row r="21" spans="1:8" ht="15.75" thickBot="1">
      <c r="A21" s="117" t="s">
        <v>1576</v>
      </c>
      <c r="B21" s="121">
        <f>$B$10*B20</f>
        <v>1302.6868386243386</v>
      </c>
      <c r="D21" s="123" t="s">
        <v>1679</v>
      </c>
      <c r="E21" s="99">
        <v>3540</v>
      </c>
      <c r="G21" s="117" t="s">
        <v>1762</v>
      </c>
      <c r="H21" s="122">
        <f>H17-(2*B5)</f>
        <v>15.999000000000001</v>
      </c>
    </row>
    <row r="22" spans="1:8" ht="15.75" thickBot="1">
      <c r="A22" s="112" t="s">
        <v>1634</v>
      </c>
      <c r="B22" s="99">
        <v>70.900000000000006</v>
      </c>
      <c r="D22" s="126" t="s">
        <v>1681</v>
      </c>
      <c r="E22" s="99">
        <v>2300</v>
      </c>
    </row>
    <row r="23" spans="1:8" ht="15.75" thickBot="1">
      <c r="A23" s="117" t="s">
        <v>1635</v>
      </c>
      <c r="B23" s="121">
        <f>$B$10*B22</f>
        <v>2362.1610449735454</v>
      </c>
      <c r="D23" s="130" t="s">
        <v>1786</v>
      </c>
      <c r="E23" s="101">
        <f>E20-(E21-E22)</f>
        <v>2321.4511111111115</v>
      </c>
      <c r="G23" s="485" t="s">
        <v>1577</v>
      </c>
      <c r="H23" s="486"/>
    </row>
    <row r="24" spans="1:8" ht="15.75" thickBot="1">
      <c r="A24" s="123" t="s">
        <v>1676</v>
      </c>
      <c r="B24" s="124">
        <v>2360</v>
      </c>
      <c r="D24" s="131" t="s">
        <v>1785</v>
      </c>
      <c r="E24" s="121">
        <f>E23/E17</f>
        <v>3.4039870833618453</v>
      </c>
      <c r="G24" s="112" t="s">
        <v>1963</v>
      </c>
      <c r="H24" s="99">
        <v>391.7</v>
      </c>
    </row>
    <row r="25" spans="1:8" ht="15.75" thickBot="1">
      <c r="A25" s="126" t="s">
        <v>1680</v>
      </c>
      <c r="B25" s="95">
        <v>1200</v>
      </c>
      <c r="G25" s="112" t="s">
        <v>1574</v>
      </c>
      <c r="H25" s="99">
        <v>50000</v>
      </c>
    </row>
    <row r="26" spans="1:8">
      <c r="A26" s="100" t="s">
        <v>1677</v>
      </c>
      <c r="B26" s="101">
        <f>B23-(B24-B25)</f>
        <v>1202.1610449735454</v>
      </c>
      <c r="C26" s="89" t="s">
        <v>1638</v>
      </c>
      <c r="D26" s="487" t="s">
        <v>1641</v>
      </c>
      <c r="E26" s="488"/>
      <c r="G26" s="112" t="s">
        <v>1573</v>
      </c>
      <c r="H26" s="99">
        <v>19.600000000000001</v>
      </c>
    </row>
    <row r="27" spans="1:8" ht="15.75" thickBot="1">
      <c r="A27" s="117" t="s">
        <v>1678</v>
      </c>
      <c r="B27" s="121">
        <v>2</v>
      </c>
      <c r="D27" s="112" t="s">
        <v>1650</v>
      </c>
      <c r="E27" s="113">
        <v>1010</v>
      </c>
      <c r="G27" s="100" t="s">
        <v>1572</v>
      </c>
      <c r="H27" s="101">
        <f>H25*H3</f>
        <v>13.888888888888889</v>
      </c>
    </row>
    <row r="28" spans="1:8" ht="15.75" thickBot="1">
      <c r="D28" s="112" t="s">
        <v>1648</v>
      </c>
      <c r="E28" s="113">
        <v>0.5</v>
      </c>
      <c r="G28" s="117" t="s">
        <v>1571</v>
      </c>
      <c r="H28" s="121">
        <f>H27*H24</f>
        <v>5440.2777777777774</v>
      </c>
    </row>
    <row r="29" spans="1:8" ht="15.75" thickBot="1">
      <c r="D29" s="112" t="s">
        <v>1646</v>
      </c>
      <c r="E29" s="113">
        <v>0.1</v>
      </c>
    </row>
    <row r="30" spans="1:8">
      <c r="D30" s="112" t="s">
        <v>1647</v>
      </c>
      <c r="E30" s="113">
        <v>0.1</v>
      </c>
      <c r="G30" s="485" t="s">
        <v>1964</v>
      </c>
      <c r="H30" s="486"/>
    </row>
    <row r="31" spans="1:8">
      <c r="D31" s="125" t="s">
        <v>1645</v>
      </c>
      <c r="E31" s="132">
        <f>(((1/E27)*(0.01*E28)*H14)/1)*100</f>
        <v>0.49460524752475249</v>
      </c>
      <c r="G31" s="112" t="s">
        <v>1965</v>
      </c>
      <c r="H31" s="99">
        <v>787</v>
      </c>
    </row>
    <row r="32" spans="1:8">
      <c r="D32" s="125" t="s">
        <v>1651</v>
      </c>
      <c r="E32" s="132">
        <f>(46.704-8.802*((E27)^2)*(10^-6)+3.167*E27*10^-3)*(1-0.01*(E29+E30+E31))+0.094*2*E30-0.024*49*E31</f>
        <v>40.076635515316191</v>
      </c>
      <c r="G32" s="112" t="s">
        <v>1574</v>
      </c>
      <c r="H32" s="99">
        <v>19900</v>
      </c>
    </row>
    <row r="33" spans="2:9">
      <c r="D33" s="125" t="s">
        <v>1683</v>
      </c>
      <c r="E33" s="133">
        <f>E32*H3*H7</f>
        <v>11.132398754254497</v>
      </c>
      <c r="G33" s="112" t="s">
        <v>1573</v>
      </c>
      <c r="H33" s="99">
        <v>15.7</v>
      </c>
    </row>
    <row r="34" spans="2:9" ht="15.75" thickBot="1">
      <c r="D34" s="134" t="s">
        <v>1683</v>
      </c>
      <c r="E34" s="135">
        <f>E33*E27</f>
        <v>11243.722741797043</v>
      </c>
      <c r="G34" s="100" t="s">
        <v>1572</v>
      </c>
      <c r="H34" s="101">
        <f>H32*H3</f>
        <v>5.5277777777777777</v>
      </c>
    </row>
    <row r="35" spans="2:9" ht="15.75" thickBot="1">
      <c r="G35" s="117" t="s">
        <v>1571</v>
      </c>
      <c r="H35" s="121">
        <f>H34*H31</f>
        <v>4350.3611111111113</v>
      </c>
    </row>
    <row r="44" spans="2:9">
      <c r="B44" s="1"/>
      <c r="C44" s="1"/>
      <c r="D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</row>
  </sheetData>
  <mergeCells count="12">
    <mergeCell ref="A1:H1"/>
    <mergeCell ref="A2:B2"/>
    <mergeCell ref="G2:H2"/>
    <mergeCell ref="D3:E3"/>
    <mergeCell ref="D13:E13"/>
    <mergeCell ref="D2:E2"/>
    <mergeCell ref="G12:H12"/>
    <mergeCell ref="G30:H30"/>
    <mergeCell ref="D26:E26"/>
    <mergeCell ref="D16:E16"/>
    <mergeCell ref="G23:H23"/>
    <mergeCell ref="G20:H2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70E4-FEED-4438-AF2A-D18A4CCABA30}">
  <dimension ref="A1:R56"/>
  <sheetViews>
    <sheetView zoomScaleNormal="100" workbookViewId="0">
      <selection activeCell="A40" activeCellId="1" sqref="Q40:R40 A40:B40"/>
    </sheetView>
  </sheetViews>
  <sheetFormatPr baseColWidth="10" defaultColWidth="11.42578125" defaultRowHeight="15"/>
  <cols>
    <col min="1" max="16384" width="11.42578125" style="175"/>
  </cols>
  <sheetData>
    <row r="1" spans="1:18">
      <c r="A1" s="408" t="s">
        <v>1627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</row>
    <row r="3" spans="1:18">
      <c r="A3" s="175" t="s">
        <v>1626</v>
      </c>
      <c r="B3" s="175" t="s">
        <v>1625</v>
      </c>
      <c r="Q3" s="175" t="s">
        <v>1626</v>
      </c>
      <c r="R3" s="175" t="s">
        <v>1625</v>
      </c>
    </row>
    <row r="4" spans="1:18">
      <c r="A4" s="175">
        <v>235.45</v>
      </c>
      <c r="B4" s="175">
        <v>1.3751899999999999</v>
      </c>
      <c r="Q4" s="175">
        <v>235.45</v>
      </c>
      <c r="R4" s="175">
        <v>1.4317500000000001</v>
      </c>
    </row>
    <row r="5" spans="1:18">
      <c r="A5" s="175">
        <v>240.45</v>
      </c>
      <c r="B5" s="175">
        <v>1.377</v>
      </c>
      <c r="Q5" s="175">
        <v>240.45</v>
      </c>
      <c r="R5" s="175">
        <v>1.43005</v>
      </c>
    </row>
    <row r="6" spans="1:18">
      <c r="A6" s="175">
        <v>245.45</v>
      </c>
      <c r="B6" s="175">
        <v>1.4024799999999999</v>
      </c>
      <c r="Q6" s="175">
        <v>245.45</v>
      </c>
      <c r="R6" s="175">
        <v>1.4508799999999999</v>
      </c>
    </row>
    <row r="7" spans="1:18">
      <c r="A7" s="175">
        <v>250.45</v>
      </c>
      <c r="B7" s="175">
        <v>1.4014500000000001</v>
      </c>
      <c r="Q7" s="175">
        <v>250.45</v>
      </c>
      <c r="R7" s="175">
        <v>1.46278</v>
      </c>
    </row>
    <row r="8" spans="1:18">
      <c r="A8" s="175">
        <v>255.45</v>
      </c>
      <c r="B8" s="175">
        <v>1.4168700000000001</v>
      </c>
      <c r="Q8" s="175">
        <v>255.45</v>
      </c>
      <c r="R8" s="175">
        <v>1.4704200000000001</v>
      </c>
    </row>
    <row r="9" spans="1:18">
      <c r="A9" s="175">
        <v>260.45</v>
      </c>
      <c r="B9" s="175">
        <v>1.4423999999999999</v>
      </c>
      <c r="Q9" s="175">
        <v>260.45</v>
      </c>
      <c r="R9" s="175">
        <v>1.4807999999999999</v>
      </c>
    </row>
    <row r="10" spans="1:18">
      <c r="A10" s="175">
        <v>265.45</v>
      </c>
      <c r="B10" s="175">
        <v>1.4460599999999999</v>
      </c>
      <c r="Q10" s="175">
        <v>265.45</v>
      </c>
      <c r="R10" s="175">
        <v>1.5013300000000001</v>
      </c>
    </row>
    <row r="11" spans="1:18">
      <c r="A11" s="175">
        <v>270.45</v>
      </c>
      <c r="B11" s="175">
        <v>1.45661</v>
      </c>
      <c r="Q11" s="175">
        <v>270.45</v>
      </c>
      <c r="R11" s="175">
        <v>1.5084299999999999</v>
      </c>
    </row>
    <row r="12" spans="1:18">
      <c r="A12" s="175">
        <v>275.45</v>
      </c>
      <c r="B12" s="175">
        <v>1.48373</v>
      </c>
      <c r="Q12" s="175">
        <v>275.45</v>
      </c>
      <c r="R12" s="175">
        <v>1.5135799999999999</v>
      </c>
    </row>
    <row r="13" spans="1:18">
      <c r="A13" s="175">
        <v>280.45</v>
      </c>
      <c r="B13" s="175">
        <v>1.4930699999999999</v>
      </c>
      <c r="Q13" s="175">
        <v>280.45</v>
      </c>
      <c r="R13" s="175">
        <v>1.5323899999999999</v>
      </c>
    </row>
    <row r="14" spans="1:18">
      <c r="A14" s="175">
        <v>285.45</v>
      </c>
      <c r="B14" s="175">
        <v>1.50197</v>
      </c>
      <c r="Q14" s="175">
        <v>285.45</v>
      </c>
      <c r="R14" s="175">
        <v>1.53284</v>
      </c>
    </row>
    <row r="15" spans="1:18">
      <c r="A15" s="175">
        <v>290.45</v>
      </c>
      <c r="B15" s="175">
        <v>1.53121</v>
      </c>
      <c r="Q15" s="175">
        <v>290.45</v>
      </c>
      <c r="R15" s="175">
        <v>1.54871</v>
      </c>
    </row>
    <row r="16" spans="1:18">
      <c r="A16" s="175">
        <v>295.45</v>
      </c>
      <c r="B16" s="175">
        <v>1.53047</v>
      </c>
      <c r="Q16" s="175">
        <v>295.45</v>
      </c>
      <c r="R16" s="175">
        <v>1.56128</v>
      </c>
    </row>
    <row r="17" spans="1:18">
      <c r="A17" s="175">
        <v>300.45</v>
      </c>
      <c r="B17" s="175">
        <v>1.54244</v>
      </c>
      <c r="Q17" s="175">
        <v>300.45</v>
      </c>
      <c r="R17" s="175">
        <v>1.5682100000000001</v>
      </c>
    </row>
    <row r="18" spans="1:18">
      <c r="A18" s="175">
        <v>305.45</v>
      </c>
      <c r="B18" s="175">
        <v>1.5669599999999999</v>
      </c>
      <c r="Q18" s="175">
        <v>305.45</v>
      </c>
      <c r="R18" s="175">
        <v>1.5829200000000001</v>
      </c>
    </row>
    <row r="19" spans="1:18">
      <c r="A19" s="175">
        <v>310.45</v>
      </c>
      <c r="B19" s="175">
        <v>1.58405</v>
      </c>
      <c r="Q19" s="175">
        <v>310.45</v>
      </c>
      <c r="R19" s="175">
        <v>1.5973299999999999</v>
      </c>
    </row>
    <row r="20" spans="1:18">
      <c r="A20" s="175">
        <v>315.45</v>
      </c>
      <c r="B20" s="175">
        <v>1.59029</v>
      </c>
      <c r="Q20" s="175">
        <v>315.45</v>
      </c>
      <c r="R20" s="175">
        <v>1.6106400000000001</v>
      </c>
    </row>
    <row r="21" spans="1:18">
      <c r="A21" s="175">
        <v>320.45</v>
      </c>
      <c r="B21" s="175">
        <v>1.6061399999999999</v>
      </c>
      <c r="Q21" s="175">
        <v>320.45</v>
      </c>
      <c r="R21" s="175">
        <v>1.6214599999999999</v>
      </c>
    </row>
    <row r="22" spans="1:18">
      <c r="A22" s="175">
        <v>325.45</v>
      </c>
      <c r="B22" s="175">
        <v>1.63527</v>
      </c>
      <c r="Q22" s="175">
        <v>325.45</v>
      </c>
      <c r="R22" s="175">
        <v>1.6390899999999999</v>
      </c>
    </row>
    <row r="23" spans="1:18">
      <c r="A23" s="175">
        <v>330.45</v>
      </c>
      <c r="B23" s="175">
        <v>1.6396299999999999</v>
      </c>
      <c r="Q23" s="175">
        <v>330.45</v>
      </c>
      <c r="R23" s="175">
        <v>1.65432</v>
      </c>
    </row>
    <row r="24" spans="1:18">
      <c r="A24" s="175">
        <v>335.45</v>
      </c>
      <c r="B24" s="175">
        <v>1.66099</v>
      </c>
      <c r="Q24" s="175">
        <v>335.45</v>
      </c>
      <c r="R24" s="175">
        <v>1.66412</v>
      </c>
    </row>
    <row r="25" spans="1:18">
      <c r="A25" s="175">
        <v>340.45</v>
      </c>
      <c r="B25" s="175">
        <v>1.6904399999999999</v>
      </c>
      <c r="Q25" s="175">
        <v>340.45</v>
      </c>
      <c r="R25" s="175">
        <v>1.68564</v>
      </c>
    </row>
    <row r="26" spans="1:18">
      <c r="A26" s="175">
        <v>345.45</v>
      </c>
      <c r="B26" s="175">
        <v>1.6862900000000001</v>
      </c>
      <c r="Q26" s="175">
        <v>345.45</v>
      </c>
      <c r="R26" s="175">
        <v>1.70181</v>
      </c>
    </row>
    <row r="27" spans="1:18">
      <c r="A27" s="175">
        <v>350.45</v>
      </c>
      <c r="B27" s="175">
        <v>1.71167</v>
      </c>
      <c r="Q27" s="175">
        <v>350.45</v>
      </c>
      <c r="R27" s="175">
        <v>1.70408</v>
      </c>
    </row>
    <row r="28" spans="1:18">
      <c r="A28" s="175">
        <v>355.45</v>
      </c>
      <c r="B28" s="175">
        <v>1.7443299999999999</v>
      </c>
      <c r="Q28" s="175">
        <v>355.45</v>
      </c>
      <c r="R28" s="175">
        <v>1.7243900000000001</v>
      </c>
    </row>
    <row r="29" spans="1:18">
      <c r="A29" s="175">
        <v>360.45</v>
      </c>
      <c r="B29" s="175">
        <v>1.74919</v>
      </c>
      <c r="Q29" s="175">
        <v>360.45</v>
      </c>
      <c r="R29" s="175">
        <v>1.74353</v>
      </c>
    </row>
    <row r="30" spans="1:18">
      <c r="A30" s="175">
        <v>365.45</v>
      </c>
      <c r="B30" s="175">
        <v>1.76355</v>
      </c>
      <c r="Q30" s="175">
        <v>365.45</v>
      </c>
      <c r="R30" s="175">
        <v>1.74901</v>
      </c>
    </row>
    <row r="31" spans="1:18">
      <c r="A31" s="175">
        <v>370.45</v>
      </c>
      <c r="B31" s="175">
        <v>1.79484</v>
      </c>
      <c r="Q31" s="175">
        <v>370.45</v>
      </c>
      <c r="R31" s="175">
        <v>1.76237</v>
      </c>
    </row>
    <row r="32" spans="1:18">
      <c r="A32" s="175">
        <v>375.45</v>
      </c>
      <c r="B32" s="175">
        <v>1.8026599999999999</v>
      </c>
      <c r="Q32" s="175">
        <v>375.45</v>
      </c>
      <c r="R32" s="175">
        <v>1.7866899999999999</v>
      </c>
    </row>
    <row r="33" spans="1:18">
      <c r="A33" s="175">
        <v>380.45</v>
      </c>
      <c r="B33" s="175">
        <v>1.81288</v>
      </c>
      <c r="Q33" s="175">
        <v>380.45</v>
      </c>
      <c r="R33" s="175">
        <v>1.7887599999999999</v>
      </c>
    </row>
    <row r="34" spans="1:18">
      <c r="A34" s="175">
        <v>385.45</v>
      </c>
      <c r="B34" s="175">
        <v>1.85487</v>
      </c>
      <c r="Q34" s="175">
        <v>385.45</v>
      </c>
      <c r="R34" s="175">
        <v>1.7895000000000001</v>
      </c>
    </row>
    <row r="35" spans="1:18">
      <c r="A35" s="175">
        <v>390.45</v>
      </c>
      <c r="B35" s="175">
        <v>1.8521399999999999</v>
      </c>
      <c r="Q35" s="175">
        <v>390.45</v>
      </c>
      <c r="R35" s="175">
        <v>1.8282099999999999</v>
      </c>
    </row>
    <row r="36" spans="1:18">
      <c r="A36" s="175">
        <v>395.45</v>
      </c>
      <c r="B36" s="175">
        <v>1.8648800000000001</v>
      </c>
      <c r="Q36" s="175">
        <v>395.45</v>
      </c>
      <c r="R36" s="175">
        <v>1.8203499999999999</v>
      </c>
    </row>
    <row r="37" spans="1:18">
      <c r="A37" s="175">
        <v>400.45</v>
      </c>
      <c r="B37" s="175">
        <v>1.89256</v>
      </c>
      <c r="Q37" s="175">
        <v>400.45</v>
      </c>
      <c r="R37" s="175">
        <v>1.8339799999999999</v>
      </c>
    </row>
    <row r="40" spans="1:18" ht="18.75">
      <c r="A40" s="496" t="s">
        <v>1624</v>
      </c>
      <c r="B40" s="496"/>
      <c r="Q40" s="496" t="s">
        <v>1624</v>
      </c>
      <c r="R40" s="496"/>
    </row>
    <row r="42" spans="1:18">
      <c r="A42" s="175">
        <v>405.45</v>
      </c>
      <c r="B42" s="175">
        <f t="shared" ref="B42:B56" si="0">0.8574*EXP(0.002*A42)</f>
        <v>1.9290917092669366</v>
      </c>
      <c r="Q42" s="175">
        <v>405.45</v>
      </c>
      <c r="R42" s="175">
        <f t="shared" ref="R42:R56" si="1">0.9858*EXP(0.0016*Q42)</f>
        <v>1.8859246201193078</v>
      </c>
    </row>
    <row r="43" spans="1:18">
      <c r="A43" s="175">
        <v>410.45</v>
      </c>
      <c r="B43" s="175">
        <f t="shared" si="0"/>
        <v>1.9484794032657524</v>
      </c>
      <c r="Q43" s="175">
        <v>410.45</v>
      </c>
      <c r="R43" s="175">
        <f t="shared" si="1"/>
        <v>1.9010725279227205</v>
      </c>
    </row>
    <row r="44" spans="1:18">
      <c r="A44" s="175">
        <v>415.45</v>
      </c>
      <c r="B44" s="175">
        <f t="shared" si="0"/>
        <v>1.9680619468286336</v>
      </c>
      <c r="Q44" s="175">
        <v>415.45</v>
      </c>
      <c r="R44" s="175">
        <f t="shared" si="1"/>
        <v>1.916342105016821</v>
      </c>
    </row>
    <row r="45" spans="1:18">
      <c r="A45" s="175">
        <v>420.45</v>
      </c>
      <c r="B45" s="175">
        <f t="shared" si="0"/>
        <v>1.9878412982262543</v>
      </c>
      <c r="Q45" s="175">
        <v>420.45</v>
      </c>
      <c r="R45" s="175">
        <f t="shared" si="1"/>
        <v>1.9317343286597555</v>
      </c>
    </row>
    <row r="46" spans="1:18">
      <c r="A46" s="175">
        <v>425.45</v>
      </c>
      <c r="B46" s="175">
        <f t="shared" si="0"/>
        <v>2.0078194354102377</v>
      </c>
      <c r="Q46" s="175">
        <v>425.45</v>
      </c>
      <c r="R46" s="175">
        <f t="shared" si="1"/>
        <v>1.9472501839590908</v>
      </c>
    </row>
    <row r="47" spans="1:18">
      <c r="A47" s="175">
        <v>430.45</v>
      </c>
      <c r="B47" s="175">
        <f t="shared" si="0"/>
        <v>2.0279983562109507</v>
      </c>
      <c r="Q47" s="175">
        <v>430.45</v>
      </c>
      <c r="R47" s="175">
        <f t="shared" si="1"/>
        <v>1.9628906639348624</v>
      </c>
    </row>
    <row r="48" spans="1:18">
      <c r="A48" s="175">
        <v>435.45</v>
      </c>
      <c r="B48" s="175">
        <f t="shared" si="0"/>
        <v>2.048380078537289</v>
      </c>
      <c r="Q48" s="175">
        <v>435.45</v>
      </c>
      <c r="R48" s="175">
        <f t="shared" si="1"/>
        <v>1.9786567695831272</v>
      </c>
    </row>
    <row r="49" spans="1:18">
      <c r="A49" s="175">
        <v>440.45</v>
      </c>
      <c r="B49" s="175">
        <f t="shared" si="0"/>
        <v>2.0689666405784699</v>
      </c>
      <c r="Q49" s="175">
        <v>440.45</v>
      </c>
      <c r="R49" s="175">
        <f t="shared" si="1"/>
        <v>1.9945495099400283</v>
      </c>
    </row>
    <row r="50" spans="1:18">
      <c r="A50" s="175">
        <v>445.45</v>
      </c>
      <c r="B50" s="175">
        <f t="shared" si="0"/>
        <v>2.0897601010078537</v>
      </c>
      <c r="Q50" s="175">
        <v>445.45</v>
      </c>
      <c r="R50" s="175">
        <f t="shared" si="1"/>
        <v>2.0105699021463734</v>
      </c>
    </row>
    <row r="51" spans="1:18">
      <c r="A51" s="175">
        <v>450.45</v>
      </c>
      <c r="B51" s="175">
        <f t="shared" si="0"/>
        <v>2.1107625391888103</v>
      </c>
      <c r="Q51" s="175">
        <v>450.45</v>
      </c>
      <c r="R51" s="175">
        <f t="shared" si="1"/>
        <v>2.0267189715127318</v>
      </c>
    </row>
    <row r="52" spans="1:18">
      <c r="A52" s="175">
        <v>455.45</v>
      </c>
      <c r="B52" s="175">
        <f t="shared" si="0"/>
        <v>2.131976055382661</v>
      </c>
      <c r="Q52" s="175">
        <v>455.45</v>
      </c>
      <c r="R52" s="175">
        <f t="shared" si="1"/>
        <v>2.0429977515850553</v>
      </c>
    </row>
    <row r="53" spans="1:18">
      <c r="A53" s="175">
        <v>460.45</v>
      </c>
      <c r="B53" s="175">
        <f t="shared" si="0"/>
        <v>2.153402770958702</v>
      </c>
      <c r="Q53" s="175">
        <v>460.45</v>
      </c>
      <c r="R53" s="175">
        <f t="shared" si="1"/>
        <v>2.0594072842108244</v>
      </c>
    </row>
    <row r="54" spans="1:18">
      <c r="A54" s="175">
        <v>465.45</v>
      </c>
      <c r="B54" s="175">
        <f t="shared" si="0"/>
        <v>2.1750448286063473</v>
      </c>
      <c r="Q54" s="175">
        <v>465.45</v>
      </c>
      <c r="R54" s="175">
        <f t="shared" si="1"/>
        <v>2.0759486196057297</v>
      </c>
    </row>
    <row r="55" spans="1:18">
      <c r="A55" s="175">
        <v>470.45</v>
      </c>
      <c r="B55" s="175">
        <f t="shared" si="0"/>
        <v>2.196904392549397</v>
      </c>
      <c r="Q55" s="175">
        <v>470.45</v>
      </c>
      <c r="R55" s="175">
        <f t="shared" si="1"/>
        <v>2.0926228164208811</v>
      </c>
    </row>
    <row r="56" spans="1:18">
      <c r="A56" s="175">
        <v>473.15</v>
      </c>
      <c r="B56" s="175">
        <f t="shared" si="0"/>
        <v>2.2087997648686848</v>
      </c>
      <c r="Q56" s="175">
        <v>473.15</v>
      </c>
      <c r="R56" s="175">
        <f t="shared" si="1"/>
        <v>2.1016825018186602</v>
      </c>
    </row>
  </sheetData>
  <mergeCells count="3">
    <mergeCell ref="A40:B40"/>
    <mergeCell ref="A1:O1"/>
    <mergeCell ref="Q40:R40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0150CF35FE454D90C3942C584E083C" ma:contentTypeVersion="11" ma:contentTypeDescription="Opprett et nytt dokument." ma:contentTypeScope="" ma:versionID="32f00ef55a42f678e1c1cadc816c3b33">
  <xsd:schema xmlns:xsd="http://www.w3.org/2001/XMLSchema" xmlns:xs="http://www.w3.org/2001/XMLSchema" xmlns:p="http://schemas.microsoft.com/office/2006/metadata/properties" xmlns:ns2="61e2cabf-48f2-452b-aade-c75d17af9c9b" xmlns:ns3="5e216633-b403-4e4d-ab02-8611ab88aba9" targetNamespace="http://schemas.microsoft.com/office/2006/metadata/properties" ma:root="true" ma:fieldsID="99a9eb97f9d50a0ee6f22e81b8751d55" ns2:_="" ns3:_="">
    <xsd:import namespace="61e2cabf-48f2-452b-aade-c75d17af9c9b"/>
    <xsd:import namespace="5e216633-b403-4e4d-ab02-8611ab88a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2cabf-48f2-452b-aade-c75d17af9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16633-b403-4e4d-ab02-8611ab88a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G k E A A B Q S w M E F A A C A A g A 4 3 J m U s g H s N 2 i A A A A 9 Q A A A B I A H A B D b 2 5 m a W c v U G F j a 2 F n Z S 5 4 b W w g o h g A K K A U A A A A A A A A A A A A A A A A A A A A A A A A A A A A h Y + x D o I w F E V / h X S n r X U h 5 F E G V 1 E T E + O K p U I j P A w t l n 9 z 8 J P 8 B T G K u j n e e 8 5 w 7 / 1 6 g 3 R o 6 u C i O 2 t a T M i M c h J o V G 1 h s E x I 7 4 5 h R F I J m 1 y d 8 l I H o 4 w 2 H m y R k M q 5 c 8 y Y 9 5 7 6 O W 2 7 k g n O Z 2 y f L b e q 0 k 1 O P r L 5 L 4 c G r c t R a S J h 9 x o j B Y 0 i K v g 4 C d j U Q W b w y 8 X I n v S n h E V f u 7 7 T E g / h a g 1 s i s D e F + Q D U E s D B B Q A A g A I A O N y Z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c m Z S 4 j n s v m U B A A C S A g A A E w A c A E Z v c m 1 1 b G F z L 1 N l Y 3 R p b 2 4 x L m 0 g o h g A K K A U A A A A A A A A A A A A A A A A A A A A A A A A A A A A f V F N S 8 N A E L 0 X + h + G e G l h C S 2 o B 0 s O J a 0 o 1 q K k e m k 8 r M l E F / e j 7 G y K p f j L P P i T / A t O P 6 R K x L 3 s z p u Z N + / N E h Z B O Q v Z 7 u 4 P 2 q 1 2 i 5 6 l x x K u p V c W Z 1 5 W l S o g A Y 2 h 3 Q I + V 0 q X y E B K y 3 j k i t q g D Z 1 z p T F O n Q 0 c U C d K z / I 7 Q k + 5 t C X 6 / L u M 8 u k K j F w s M P 9 F H x e 0 j L p i P k K t j A r o k 0 h E A l K n a 2 M p 6 f c E j G 3 h S m W f k t O T X q 8 v 4 L Z 2 A b O w 0 p g c n v H U W X z o i p 3 Q o + j c + c q j M c i C 3 Z L 1 v H h V M X 3 E 8 m f y k R t u v D P c f Y G S d V J n 6 0 3 A f A 8 P t c 4 K q a W n J P j 6 J / P Y l h 4 D h N U C D 2 T s x l L l v N k J n 3 G S O v + o E O t 1 9 P n + c Y 9 E q A m m 0 i C 7 3 n B C w N f w J m A d j Z e 8 t w Y 6 k g F h p g 7 1 J Q O B 4 0 M P 7 H + j 0 T v 0 K P 8 E Y e L Y b C O V L R D L B p q 6 2 t N m / K U N p 8 f x x u s W n 8 j m x I m z v 7 C 3 b r u l 7 F + r H H w B U E s B A i 0 A F A A C A A g A 4 3 J m U s g H s N 2 i A A A A 9 Q A A A B I A A A A A A A A A A A A A A A A A A A A A A E N v b m Z p Z y 9 Q Y W N r Y W d l L n h t b F B L A Q I t A B Q A A g A I A O N y Z l I P y u m r p A A A A O k A A A A T A A A A A A A A A A A A A A A A A O 4 A A A B b Q 2 9 u d G V u d F 9 U e X B l c 1 0 u e G 1 s U E s B A i 0 A F A A C A A g A 4 3 J m U u I 5 7 L 5 l A Q A A k g I A A B M A A A A A A A A A A A A A A A A A 3 w E A A E Z v c m 1 1 b G F z L 1 N l Y 3 R p b 2 4 x L m 1 Q S w U G A A A A A A M A A w D C A A A A k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g 0 A A A A A A A D U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m l u Z V R y Y W Z m a W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Y X J p b m V U c m F m Z m l j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5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N l Q w O T o y N T o 0 N y 4 3 M D I 4 O D Y 3 W i I g L z 4 8 R W 5 0 c n k g V H l w Z T 0 i R m l s b E N v b H V t b l R 5 c G V z I i B W Y W x 1 Z T 0 i c 0 J n W U h C Z 1 l H Q m d N R 0 J n P T 0 i I C 8 + P E V u d H J 5 I F R 5 c G U 9 I k Z p b G x D b 2 x 1 b W 5 O Y W 1 l c y I g V m F s d W U 9 I n N b J n F 1 b 3 Q 7 7 7 u / V m V z c 2 V s c y B O Y W 1 l J n F 1 b 3 Q 7 L C Z x d W 9 0 O 0 V 2 Z W 5 0 J n F 1 b 3 Q 7 L C Z x d W 9 0 O 0 R h d G U g V G l t Z S Z x d W 9 0 O y w m c X V v d D t F d m V u d C B D b 2 5 0 Z W 5 0 J n F 1 b 3 Q 7 L C Z x d W 9 0 O 0 F y Z W E m c X V v d D s s J n F 1 b 3 Q 7 Q X J l Y S B M b 2 N h b C Z x d W 9 0 O y w m c X V v d D t T c G V l Z C Z x d W 9 0 O y w m c X V v d D t D b 3 V y c 2 U m c X V v d D s s J n F 1 b 3 Q 7 T G F 0 J n F 1 b 3 Q 7 L C Z x d W 9 0 O 0 x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X J p b m V U c m F m Z m l j L 0 F 1 d G 9 S Z W 1 v d m V k Q 2 9 s d W 1 u c z E u e + + 7 v 1 Z l c 3 N l b H M g T m F t Z S w w f S Z x d W 9 0 O y w m c X V v d D t T Z W N 0 a W 9 u M S 9 N Y X J p b m V U c m F m Z m l j L 0 F 1 d G 9 S Z W 1 v d m V k Q 2 9 s d W 1 u c z E u e 0 V 2 Z W 5 0 L D F 9 J n F 1 b 3 Q 7 L C Z x d W 9 0 O 1 N l Y 3 R p b 2 4 x L 0 1 h c m l u Z V R y Y W Z m a W M v Q X V 0 b 1 J l b W 9 2 Z W R D b 2 x 1 b W 5 z M S 5 7 R G F 0 Z S B U a W 1 l L D J 9 J n F 1 b 3 Q 7 L C Z x d W 9 0 O 1 N l Y 3 R p b 2 4 x L 0 1 h c m l u Z V R y Y W Z m a W M v Q X V 0 b 1 J l b W 9 2 Z W R D b 2 x 1 b W 5 z M S 5 7 R X Z l b n Q g Q 2 9 u d G V u d C w z f S Z x d W 9 0 O y w m c X V v d D t T Z W N 0 a W 9 u M S 9 N Y X J p b m V U c m F m Z m l j L 0 F 1 d G 9 S Z W 1 v d m V k Q 2 9 s d W 1 u c z E u e 0 F y Z W E s N H 0 m c X V v d D s s J n F 1 b 3 Q 7 U 2 V j d G l v b j E v T W F y a W 5 l V H J h Z m Z p Y y 9 B d X R v U m V t b 3 Z l Z E N v b H V t b n M x L n t B c m V h I E x v Y 2 F s L D V 9 J n F 1 b 3 Q 7 L C Z x d W 9 0 O 1 N l Y 3 R p b 2 4 x L 0 1 h c m l u Z V R y Y W Z m a W M v Q X V 0 b 1 J l b W 9 2 Z W R D b 2 x 1 b W 5 z M S 5 7 U 3 B l Z W Q s N n 0 m c X V v d D s s J n F 1 b 3 Q 7 U 2 V j d G l v b j E v T W F y a W 5 l V H J h Z m Z p Y y 9 B d X R v U m V t b 3 Z l Z E N v b H V t b n M x L n t D b 3 V y c 2 U s N 3 0 m c X V v d D s s J n F 1 b 3 Q 7 U 2 V j d G l v b j E v T W F y a W 5 l V H J h Z m Z p Y y 9 B d X R v U m V t b 3 Z l Z E N v b H V t b n M x L n t M Y X Q s O H 0 m c X V v d D s s J n F 1 b 3 Q 7 U 2 V j d G l v b j E v T W F y a W 5 l V H J h Z m Z p Y y 9 B d X R v U m V t b 3 Z l Z E N v b H V t b n M x L n t M b 2 4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1 h c m l u Z V R y Y W Z m a W M v Q X V 0 b 1 J l b W 9 2 Z W R D b 2 x 1 b W 5 z M S 5 7 7 7 u / V m V z c 2 V s c y B O Y W 1 l L D B 9 J n F 1 b 3 Q 7 L C Z x d W 9 0 O 1 N l Y 3 R p b 2 4 x L 0 1 h c m l u Z V R y Y W Z m a W M v Q X V 0 b 1 J l b W 9 2 Z W R D b 2 x 1 b W 5 z M S 5 7 R X Z l b n Q s M X 0 m c X V v d D s s J n F 1 b 3 Q 7 U 2 V j d G l v b j E v T W F y a W 5 l V H J h Z m Z p Y y 9 B d X R v U m V t b 3 Z l Z E N v b H V t b n M x L n t E Y X R l I F R p b W U s M n 0 m c X V v d D s s J n F 1 b 3 Q 7 U 2 V j d G l v b j E v T W F y a W 5 l V H J h Z m Z p Y y 9 B d X R v U m V t b 3 Z l Z E N v b H V t b n M x L n t F d m V u d C B D b 2 5 0 Z W 5 0 L D N 9 J n F 1 b 3 Q 7 L C Z x d W 9 0 O 1 N l Y 3 R p b 2 4 x L 0 1 h c m l u Z V R y Y W Z m a W M v Q X V 0 b 1 J l b W 9 2 Z W R D b 2 x 1 b W 5 z M S 5 7 Q X J l Y S w 0 f S Z x d W 9 0 O y w m c X V v d D t T Z W N 0 a W 9 u M S 9 N Y X J p b m V U c m F m Z m l j L 0 F 1 d G 9 S Z W 1 v d m V k Q 2 9 s d W 1 u c z E u e 0 F y Z W E g T G 9 j Y W w s N X 0 m c X V v d D s s J n F 1 b 3 Q 7 U 2 V j d G l v b j E v T W F y a W 5 l V H J h Z m Z p Y y 9 B d X R v U m V t b 3 Z l Z E N v b H V t b n M x L n t T c G V l Z C w 2 f S Z x d W 9 0 O y w m c X V v d D t T Z W N 0 a W 9 u M S 9 N Y X J p b m V U c m F m Z m l j L 0 F 1 d G 9 S Z W 1 v d m V k Q 2 9 s d W 1 u c z E u e 0 N v d X J z Z S w 3 f S Z x d W 9 0 O y w m c X V v d D t T Z W N 0 a W 9 u M S 9 N Y X J p b m V U c m F m Z m l j L 0 F 1 d G 9 S Z W 1 v d m V k Q 2 9 s d W 1 u c z E u e 0 x h d C w 4 f S Z x d W 9 0 O y w m c X V v d D t T Z W N 0 a W 9 u M S 9 N Y X J p b m V U c m F m Z m l j L 0 F 1 d G 9 S Z W 1 v d m V k Q 2 9 s d W 1 u c z E u e 0 x v b i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F y a W 5 l V H J h Z m Z p Y y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m l u Z V R y Y W Z m a W M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J p b m V U c m F m Z m l j L 0 V u Z H J l d C U y M H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l W y t 3 G C c U q 9 M q P m q Y d a a w A A A A A C A A A A A A A Q Z g A A A A E A A C A A A A B + 7 4 q V H n Y g u x G O G 0 f z F H N U U q a x H l F W 0 I D s E + x m F / 7 / 2 Q A A A A A O g A A A A A I A A C A A A A A I / j b x H 0 O J e H 6 B j k y y O Q X r f A 8 7 P C V 3 S O a e g U K J i n T l X F A A A A A T L A o O 2 t 0 Q S v t K a E T C P V 7 V d m E Z p l B W D y t l / s e S D + k n S i r V r h O h E 2 5 3 B A U J w t t b 6 R u I c R r s 4 F C Q e C 9 R Q g Q q K b I I I u B l Y S o B j C W B G H E L J V 6 I Z E A A A A B O t N z J 2 V A E J p P b 9 1 n Z X w O v X Z 6 J u D S N n o 1 q + P P M f d C u D + I 7 I q O t 1 6 C + M W A T J x l c q P K 6 m H o 3 w o j g X l 0 g n Y 2 E Y 4 9 3 < / D a t a M a s h u p > 
</file>

<file path=customXml/itemProps1.xml><?xml version="1.0" encoding="utf-8"?>
<ds:datastoreItem xmlns:ds="http://schemas.openxmlformats.org/officeDocument/2006/customXml" ds:itemID="{C4E38360-0E03-4FAC-9CDB-F5D9AB280F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7BFFD7-3442-46FF-AE39-2EE5582740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7A06C1-464A-4500-B983-0CF3F64EF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e2cabf-48f2-452b-aade-c75d17af9c9b"/>
    <ds:schemaRef ds:uri="5e216633-b403-4e4d-ab02-8611ab88a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033007-E1F1-4268-9797-C2F72BBBF3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Hydrogen prod con</vt:lpstr>
      <vt:lpstr>MarineTraffic</vt:lpstr>
      <vt:lpstr>Supply chains</vt:lpstr>
      <vt:lpstr>Cost and emission analysis</vt:lpstr>
      <vt:lpstr>Case MV Rubin</vt:lpstr>
      <vt:lpstr>Thermodynamic data</vt:lpstr>
      <vt:lpstr>DBT Cp_extrapolated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Vangsnes Bøe</dc:creator>
  <cp:lastModifiedBy>Anders Vangsnes Bøe</cp:lastModifiedBy>
  <dcterms:created xsi:type="dcterms:W3CDTF">2021-03-06T09:24:10Z</dcterms:created>
  <dcterms:modified xsi:type="dcterms:W3CDTF">2021-05-18T11:31:52Z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0x0101006F0150CF35FE454D90C3942C584E083C</vt:lpwstr>
  </property>
</Properties>
</file>