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/>
  <mc:AlternateContent xmlns:mc="http://schemas.openxmlformats.org/markup-compatibility/2006">
    <mc:Choice Requires="x15">
      <x15ac:absPath xmlns:x15ac="http://schemas.microsoft.com/office/spreadsheetml/2010/11/ac" url="/Users/inehoines/Library/Containers/com.microsoft.Excel/Data/Desktop/"/>
    </mc:Choice>
  </mc:AlternateContent>
  <xr:revisionPtr revIDLastSave="0" documentId="13_ncr:1_{7EEE60D1-4AAB-FF4F-A669-973ACA062ED6}" xr6:coauthVersionLast="45" xr6:coauthVersionMax="45" xr10:uidLastSave="{00000000-0000-0000-0000-000000000000}"/>
  <bookViews>
    <workbookView xWindow="0" yWindow="460" windowWidth="28800" windowHeight="15740" xr2:uid="{00000000-000D-0000-FFFF-FFFF00000000}"/>
  </bookViews>
  <sheets>
    <sheet name="forutsetninger 1" sheetId="1" r:id="rId1"/>
    <sheet name="forutsetninger 2" sheetId="2" r:id="rId2"/>
    <sheet name="Avgifter" sheetId="3" r:id="rId3"/>
    <sheet name="Fabrikk 1 " sheetId="4" r:id="rId4"/>
    <sheet name="Fabrikk 2 " sheetId="5" r:id="rId5"/>
    <sheet name="Fabrikk 3 " sheetId="6" r:id="rId6"/>
    <sheet name="Fabrikk 4" sheetId="7" r:id="rId7"/>
    <sheet name="Fabrikk 5 " sheetId="8" r:id="rId8"/>
    <sheet name="Fabrikk 6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13" roundtripDataSignature="AMtx7miTDhNeMmKv4jLBhNS2HkBG2YF4fg=="/>
    </ext>
  </extLst>
</workbook>
</file>

<file path=xl/calcChain.xml><?xml version="1.0" encoding="utf-8"?>
<calcChain xmlns="http://schemas.openxmlformats.org/spreadsheetml/2006/main">
  <c r="Q7" i="1" l="1"/>
  <c r="G6" i="4"/>
  <c r="F6" i="4"/>
  <c r="E6" i="4"/>
  <c r="D6" i="4"/>
  <c r="C6" i="4"/>
  <c r="G14" i="1" l="1"/>
  <c r="G22" i="1" s="1"/>
  <c r="Q33" i="3"/>
  <c r="T30" i="3" s="1"/>
  <c r="T35" i="3" s="1"/>
  <c r="U18" i="3"/>
  <c r="M9" i="3"/>
  <c r="Q6" i="3"/>
  <c r="Q5" i="3"/>
  <c r="P47" i="1"/>
  <c r="P46" i="1"/>
  <c r="P45" i="1"/>
  <c r="S44" i="1"/>
  <c r="P43" i="1"/>
  <c r="P42" i="1"/>
  <c r="S43" i="1" s="1"/>
  <c r="P41" i="1"/>
  <c r="S42" i="1" s="1"/>
  <c r="P35" i="1"/>
  <c r="K35" i="1"/>
  <c r="J35" i="1"/>
  <c r="I35" i="1"/>
  <c r="P34" i="1"/>
  <c r="J34" i="1"/>
  <c r="I34" i="1"/>
  <c r="H34" i="1"/>
  <c r="G34" i="1"/>
  <c r="P33" i="1"/>
  <c r="G33" i="1"/>
  <c r="S32" i="1"/>
  <c r="K32" i="1"/>
  <c r="G11" i="6" s="1"/>
  <c r="P31" i="1"/>
  <c r="K31" i="1"/>
  <c r="J31" i="1"/>
  <c r="P30" i="1"/>
  <c r="S31" i="1" s="1"/>
  <c r="P29" i="1"/>
  <c r="S30" i="1" s="1"/>
  <c r="K27" i="1"/>
  <c r="J27" i="1"/>
  <c r="K26" i="1"/>
  <c r="J26" i="1"/>
  <c r="I26" i="1"/>
  <c r="H26" i="1"/>
  <c r="G26" i="1"/>
  <c r="K25" i="1"/>
  <c r="J25" i="1"/>
  <c r="I25" i="1"/>
  <c r="H25" i="1"/>
  <c r="G25" i="1"/>
  <c r="K24" i="1"/>
  <c r="J24" i="1"/>
  <c r="I24" i="1"/>
  <c r="H24" i="1"/>
  <c r="Q23" i="1"/>
  <c r="R23" i="1" s="1"/>
  <c r="K23" i="1"/>
  <c r="J23" i="1"/>
  <c r="I23" i="1"/>
  <c r="H23" i="1"/>
  <c r="Q22" i="1"/>
  <c r="R22" i="1" s="1"/>
  <c r="K22" i="1"/>
  <c r="U12" i="3" s="1"/>
  <c r="J22" i="1"/>
  <c r="I22" i="1"/>
  <c r="H22" i="1"/>
  <c r="Q21" i="1"/>
  <c r="R21" i="1" s="1"/>
  <c r="K19" i="1"/>
  <c r="J19" i="1"/>
  <c r="I19" i="1"/>
  <c r="H19" i="1"/>
  <c r="H27" i="1" s="1"/>
  <c r="G19" i="1"/>
  <c r="K18" i="1"/>
  <c r="J18" i="1"/>
  <c r="I18" i="1"/>
  <c r="H18" i="1"/>
  <c r="G18" i="1"/>
  <c r="K17" i="1"/>
  <c r="K33" i="1" s="1"/>
  <c r="J17" i="1"/>
  <c r="J33" i="1" s="1"/>
  <c r="I17" i="1"/>
  <c r="H17" i="1"/>
  <c r="G17" i="1"/>
  <c r="Q16" i="1"/>
  <c r="R16" i="1" s="1"/>
  <c r="K16" i="1"/>
  <c r="J16" i="1"/>
  <c r="I16" i="1"/>
  <c r="H16" i="1"/>
  <c r="G16" i="1"/>
  <c r="Q15" i="1"/>
  <c r="R15" i="1" s="1"/>
  <c r="K15" i="1"/>
  <c r="J15" i="1"/>
  <c r="I15" i="1"/>
  <c r="H15" i="1"/>
  <c r="H31" i="1" s="1"/>
  <c r="G15" i="1"/>
  <c r="R14" i="1"/>
  <c r="Q14" i="1"/>
  <c r="K14" i="1"/>
  <c r="J14" i="1"/>
  <c r="I14" i="1"/>
  <c r="H14" i="1"/>
  <c r="Q9" i="1"/>
  <c r="R9" i="1" s="1"/>
  <c r="Q8" i="1"/>
  <c r="R8" i="1" s="1"/>
  <c r="R7" i="1"/>
  <c r="G9" i="6" l="1"/>
  <c r="F9" i="7"/>
  <c r="F10" i="7"/>
  <c r="F11" i="7"/>
  <c r="G10" i="7"/>
  <c r="G11" i="7"/>
  <c r="G9" i="7"/>
  <c r="D10" i="5"/>
  <c r="D11" i="5"/>
  <c r="D9" i="5"/>
  <c r="R20" i="3"/>
  <c r="K28" i="3" s="1"/>
  <c r="D16" i="9"/>
  <c r="G10" i="6"/>
  <c r="D10" i="6"/>
  <c r="E10" i="9"/>
  <c r="E11" i="9"/>
  <c r="E9" i="9"/>
  <c r="D4" i="7"/>
  <c r="D6" i="7"/>
  <c r="R15" i="3"/>
  <c r="R14" i="3"/>
  <c r="D17" i="3" s="1"/>
  <c r="D14" i="5"/>
  <c r="F11" i="5"/>
  <c r="F9" i="5"/>
  <c r="F10" i="5"/>
  <c r="E4" i="7"/>
  <c r="E6" i="7"/>
  <c r="C4" i="9"/>
  <c r="C6" i="9"/>
  <c r="T16" i="3"/>
  <c r="F28" i="3" s="1"/>
  <c r="F16" i="6"/>
  <c r="G11" i="5"/>
  <c r="G9" i="5"/>
  <c r="G10" i="5"/>
  <c r="G11" i="9"/>
  <c r="G9" i="9"/>
  <c r="G10" i="9"/>
  <c r="C6" i="6"/>
  <c r="C4" i="6"/>
  <c r="S16" i="3"/>
  <c r="E28" i="3" s="1"/>
  <c r="E16" i="6"/>
  <c r="C9" i="8"/>
  <c r="C10" i="8"/>
  <c r="C11" i="8"/>
  <c r="C4" i="5"/>
  <c r="C6" i="5"/>
  <c r="D17" i="4"/>
  <c r="R13" i="3"/>
  <c r="R12" i="3"/>
  <c r="D16" i="8"/>
  <c r="R19" i="3"/>
  <c r="K17" i="3" s="1"/>
  <c r="F10" i="8"/>
  <c r="F11" i="8"/>
  <c r="F9" i="8"/>
  <c r="D6" i="6"/>
  <c r="D4" i="6"/>
  <c r="E14" i="5"/>
  <c r="S15" i="3"/>
  <c r="U20" i="3"/>
  <c r="N28" i="3" s="1"/>
  <c r="G16" i="9"/>
  <c r="D9" i="8"/>
  <c r="D10" i="8"/>
  <c r="D11" i="8"/>
  <c r="E6" i="6"/>
  <c r="E4" i="6"/>
  <c r="E17" i="4"/>
  <c r="S13" i="3"/>
  <c r="S12" i="3"/>
  <c r="E6" i="3" s="1"/>
  <c r="G6" i="8"/>
  <c r="G4" i="8"/>
  <c r="Q12" i="3"/>
  <c r="C6" i="3" s="1"/>
  <c r="C17" i="4"/>
  <c r="Q13" i="3"/>
  <c r="C16" i="8"/>
  <c r="Q19" i="3"/>
  <c r="J17" i="3" s="1"/>
  <c r="T20" i="3"/>
  <c r="M28" i="3" s="1"/>
  <c r="M34" i="3" s="1"/>
  <c r="F16" i="9"/>
  <c r="E10" i="8"/>
  <c r="E11" i="8"/>
  <c r="E9" i="8"/>
  <c r="F4" i="6"/>
  <c r="F6" i="6"/>
  <c r="T13" i="3"/>
  <c r="T12" i="3"/>
  <c r="F6" i="3" s="1"/>
  <c r="F17" i="4"/>
  <c r="E4" i="4"/>
  <c r="C4" i="8"/>
  <c r="C6" i="8"/>
  <c r="D16" i="7"/>
  <c r="R18" i="3"/>
  <c r="G32" i="1"/>
  <c r="C11" i="6" s="1"/>
  <c r="K34" i="1"/>
  <c r="G6" i="5"/>
  <c r="G4" i="5"/>
  <c r="E16" i="7"/>
  <c r="S17" i="3"/>
  <c r="S18" i="3"/>
  <c r="H32" i="1"/>
  <c r="D11" i="6" s="1"/>
  <c r="C11" i="7"/>
  <c r="C9" i="7"/>
  <c r="C10" i="7"/>
  <c r="E6" i="5"/>
  <c r="E4" i="5"/>
  <c r="U14" i="3"/>
  <c r="G14" i="5"/>
  <c r="U15" i="3"/>
  <c r="T19" i="3"/>
  <c r="M17" i="3" s="1"/>
  <c r="M23" i="3" s="1"/>
  <c r="F16" i="8"/>
  <c r="H33" i="1"/>
  <c r="F6" i="5"/>
  <c r="F4" i="5"/>
  <c r="F6" i="9"/>
  <c r="F4" i="9"/>
  <c r="G16" i="8"/>
  <c r="U19" i="3"/>
  <c r="N17" i="3" s="1"/>
  <c r="D4" i="8"/>
  <c r="D6" i="8"/>
  <c r="G27" i="1"/>
  <c r="G4" i="4"/>
  <c r="G24" i="1"/>
  <c r="F16" i="7"/>
  <c r="T17" i="3"/>
  <c r="T18" i="3"/>
  <c r="I32" i="1"/>
  <c r="E11" i="6" s="1"/>
  <c r="G35" i="1"/>
  <c r="F11" i="9"/>
  <c r="F9" i="9"/>
  <c r="F10" i="9"/>
  <c r="C4" i="4"/>
  <c r="D4" i="5"/>
  <c r="D6" i="5"/>
  <c r="F4" i="7"/>
  <c r="F6" i="7"/>
  <c r="D4" i="9"/>
  <c r="D6" i="9"/>
  <c r="T14" i="3"/>
  <c r="F14" i="5"/>
  <c r="T15" i="3"/>
  <c r="U16" i="3"/>
  <c r="G28" i="3" s="1"/>
  <c r="G16" i="6"/>
  <c r="E16" i="8"/>
  <c r="S19" i="3"/>
  <c r="L17" i="3" s="1"/>
  <c r="D4" i="4"/>
  <c r="G4" i="7"/>
  <c r="G6" i="7"/>
  <c r="E6" i="9"/>
  <c r="E4" i="9"/>
  <c r="Q18" i="3"/>
  <c r="C16" i="7"/>
  <c r="Q17" i="3"/>
  <c r="G4" i="6"/>
  <c r="G6" i="6"/>
  <c r="G17" i="4"/>
  <c r="U13" i="3"/>
  <c r="G6" i="3" s="1"/>
  <c r="I33" i="1"/>
  <c r="S14" i="3"/>
  <c r="E17" i="3" s="1"/>
  <c r="F4" i="4"/>
  <c r="G6" i="9"/>
  <c r="G4" i="9"/>
  <c r="G31" i="1"/>
  <c r="E4" i="8"/>
  <c r="E6" i="8"/>
  <c r="C6" i="7"/>
  <c r="C4" i="7"/>
  <c r="F4" i="8"/>
  <c r="F6" i="8"/>
  <c r="G23" i="1"/>
  <c r="R16" i="3"/>
  <c r="D28" i="3" s="1"/>
  <c r="D16" i="6"/>
  <c r="G16" i="7"/>
  <c r="U17" i="3"/>
  <c r="N6" i="3" s="1"/>
  <c r="I27" i="1"/>
  <c r="I31" i="1"/>
  <c r="J32" i="1"/>
  <c r="F11" i="6" s="1"/>
  <c r="H35" i="1"/>
  <c r="R17" i="3"/>
  <c r="K6" i="3" s="1"/>
  <c r="F9" i="3"/>
  <c r="F31" i="3"/>
  <c r="F20" i="3"/>
  <c r="M31" i="3"/>
  <c r="M20" i="3"/>
  <c r="U30" i="3"/>
  <c r="U35" i="3" s="1"/>
  <c r="Q30" i="3"/>
  <c r="Q35" i="3" s="1"/>
  <c r="R30" i="3"/>
  <c r="R35" i="3" s="1"/>
  <c r="S30" i="3"/>
  <c r="S35" i="3" s="1"/>
  <c r="E26" i="8" l="1"/>
  <c r="E31" i="8" s="1"/>
  <c r="E20" i="8"/>
  <c r="E24" i="8"/>
  <c r="E18" i="8"/>
  <c r="E21" i="8"/>
  <c r="E25" i="8"/>
  <c r="E30" i="8" s="1"/>
  <c r="E19" i="8"/>
  <c r="E23" i="8"/>
  <c r="E19" i="7"/>
  <c r="E23" i="7"/>
  <c r="E26" i="7"/>
  <c r="E20" i="7"/>
  <c r="E24" i="7"/>
  <c r="E18" i="7"/>
  <c r="E21" i="7"/>
  <c r="E25" i="7"/>
  <c r="C20" i="4"/>
  <c r="C24" i="4"/>
  <c r="C27" i="4"/>
  <c r="C21" i="4"/>
  <c r="C25" i="4"/>
  <c r="C19" i="4"/>
  <c r="C22" i="4"/>
  <c r="C26" i="4"/>
  <c r="D20" i="9"/>
  <c r="D24" i="9"/>
  <c r="D18" i="9"/>
  <c r="D21" i="9"/>
  <c r="D25" i="9"/>
  <c r="D30" i="9" s="1"/>
  <c r="D19" i="9"/>
  <c r="D23" i="9"/>
  <c r="D26" i="9"/>
  <c r="D31" i="9" s="1"/>
  <c r="G26" i="7"/>
  <c r="G20" i="7"/>
  <c r="G24" i="7"/>
  <c r="G18" i="7"/>
  <c r="G21" i="7"/>
  <c r="G25" i="7"/>
  <c r="G19" i="7"/>
  <c r="G23" i="7"/>
  <c r="E9" i="7"/>
  <c r="E10" i="7"/>
  <c r="E11" i="7"/>
  <c r="G19" i="6"/>
  <c r="G23" i="6"/>
  <c r="G26" i="6"/>
  <c r="G20" i="6"/>
  <c r="G24" i="6"/>
  <c r="G18" i="6"/>
  <c r="G21" i="6"/>
  <c r="G25" i="6"/>
  <c r="C10" i="9"/>
  <c r="C11" i="9"/>
  <c r="C9" i="9"/>
  <c r="C16" i="9"/>
  <c r="Q20" i="3"/>
  <c r="J28" i="3" s="1"/>
  <c r="D24" i="4"/>
  <c r="D29" i="4" s="1"/>
  <c r="D27" i="4"/>
  <c r="D21" i="4"/>
  <c r="D25" i="4"/>
  <c r="D19" i="4"/>
  <c r="D22" i="4"/>
  <c r="D26" i="4"/>
  <c r="D20" i="4"/>
  <c r="F25" i="6"/>
  <c r="F30" i="6" s="1"/>
  <c r="F19" i="6"/>
  <c r="F23" i="6"/>
  <c r="F26" i="6"/>
  <c r="F20" i="6"/>
  <c r="F24" i="6"/>
  <c r="F29" i="6" s="1"/>
  <c r="F18" i="6"/>
  <c r="F21" i="6"/>
  <c r="E9" i="3"/>
  <c r="E12" i="3" s="1"/>
  <c r="L9" i="3"/>
  <c r="L31" i="3"/>
  <c r="L20" i="3"/>
  <c r="E31" i="3"/>
  <c r="E34" i="3" s="1"/>
  <c r="E20" i="3"/>
  <c r="E23" i="3" s="1"/>
  <c r="D11" i="7"/>
  <c r="D9" i="7"/>
  <c r="D10" i="7"/>
  <c r="F34" i="3"/>
  <c r="D18" i="5"/>
  <c r="D22" i="5"/>
  <c r="D16" i="5"/>
  <c r="D19" i="5"/>
  <c r="D23" i="5"/>
  <c r="D28" i="5" s="1"/>
  <c r="D17" i="5"/>
  <c r="D21" i="5"/>
  <c r="D26" i="5" s="1"/>
  <c r="D24" i="5"/>
  <c r="D18" i="6"/>
  <c r="D21" i="6"/>
  <c r="D25" i="6"/>
  <c r="D19" i="6"/>
  <c r="D23" i="6"/>
  <c r="D28" i="6" s="1"/>
  <c r="D26" i="6"/>
  <c r="D20" i="6"/>
  <c r="D24" i="6"/>
  <c r="G25" i="4"/>
  <c r="G19" i="4"/>
  <c r="G22" i="4"/>
  <c r="G26" i="4"/>
  <c r="G31" i="4" s="1"/>
  <c r="G20" i="4"/>
  <c r="G24" i="4"/>
  <c r="G29" i="4" s="1"/>
  <c r="G27" i="4"/>
  <c r="G21" i="4"/>
  <c r="F20" i="8"/>
  <c r="F24" i="8"/>
  <c r="F18" i="8"/>
  <c r="F21" i="8"/>
  <c r="F25" i="8"/>
  <c r="F19" i="8"/>
  <c r="F23" i="8"/>
  <c r="F26" i="8"/>
  <c r="G10" i="8"/>
  <c r="G11" i="8"/>
  <c r="G9" i="8"/>
  <c r="F21" i="4"/>
  <c r="F25" i="4"/>
  <c r="F19" i="4"/>
  <c r="F22" i="4"/>
  <c r="F26" i="4"/>
  <c r="F20" i="4"/>
  <c r="F24" i="4"/>
  <c r="F27" i="4"/>
  <c r="F18" i="9"/>
  <c r="F21" i="9"/>
  <c r="F25" i="9"/>
  <c r="F30" i="9" s="1"/>
  <c r="F19" i="9"/>
  <c r="F23" i="9"/>
  <c r="F26" i="9"/>
  <c r="F20" i="9"/>
  <c r="F24" i="9"/>
  <c r="F29" i="9" s="1"/>
  <c r="E10" i="6"/>
  <c r="C9" i="6"/>
  <c r="J31" i="3"/>
  <c r="J20" i="3"/>
  <c r="C31" i="3"/>
  <c r="C20" i="3"/>
  <c r="J9" i="3"/>
  <c r="C9" i="3"/>
  <c r="C12" i="3" s="1"/>
  <c r="F12" i="3"/>
  <c r="G21" i="9"/>
  <c r="G25" i="9"/>
  <c r="G30" i="9" s="1"/>
  <c r="G19" i="9"/>
  <c r="G23" i="9"/>
  <c r="G26" i="9"/>
  <c r="G20" i="9"/>
  <c r="G24" i="9"/>
  <c r="G29" i="9" s="1"/>
  <c r="G18" i="9"/>
  <c r="F10" i="6"/>
  <c r="D9" i="6"/>
  <c r="K31" i="3"/>
  <c r="K34" i="3" s="1"/>
  <c r="K20" i="3"/>
  <c r="D9" i="3"/>
  <c r="D31" i="3"/>
  <c r="D34" i="3" s="1"/>
  <c r="D20" i="3"/>
  <c r="D23" i="3" s="1"/>
  <c r="K9" i="3"/>
  <c r="K12" i="3" s="1"/>
  <c r="C14" i="5"/>
  <c r="Q15" i="3"/>
  <c r="Q14" i="3"/>
  <c r="M6" i="3"/>
  <c r="M12" i="3" s="1"/>
  <c r="N23" i="3"/>
  <c r="G9" i="3"/>
  <c r="G12" i="3" s="1"/>
  <c r="G31" i="3"/>
  <c r="G34" i="3" s="1"/>
  <c r="G20" i="3"/>
  <c r="N9" i="3"/>
  <c r="N12" i="3" s="1"/>
  <c r="N31" i="3"/>
  <c r="N34" i="3" s="1"/>
  <c r="N20" i="3"/>
  <c r="F17" i="3"/>
  <c r="F23" i="3" s="1"/>
  <c r="F23" i="7"/>
  <c r="F26" i="7"/>
  <c r="F20" i="7"/>
  <c r="F24" i="7"/>
  <c r="F18" i="7"/>
  <c r="F21" i="7"/>
  <c r="F25" i="7"/>
  <c r="F19" i="7"/>
  <c r="G24" i="8"/>
  <c r="G18" i="8"/>
  <c r="G21" i="8"/>
  <c r="G25" i="8"/>
  <c r="G19" i="8"/>
  <c r="G23" i="8"/>
  <c r="G28" i="8" s="1"/>
  <c r="G26" i="8"/>
  <c r="G20" i="8"/>
  <c r="J23" i="3"/>
  <c r="K23" i="3"/>
  <c r="E9" i="6"/>
  <c r="C19" i="8"/>
  <c r="C23" i="8"/>
  <c r="C28" i="8" s="1"/>
  <c r="C26" i="8"/>
  <c r="C20" i="8"/>
  <c r="C24" i="8"/>
  <c r="C18" i="8"/>
  <c r="C21" i="8"/>
  <c r="C25" i="8"/>
  <c r="E27" i="4"/>
  <c r="E21" i="4"/>
  <c r="E25" i="4"/>
  <c r="E19" i="4"/>
  <c r="E22" i="4"/>
  <c r="E26" i="4"/>
  <c r="E20" i="4"/>
  <c r="E24" i="4"/>
  <c r="D23" i="8"/>
  <c r="D26" i="8"/>
  <c r="D31" i="8" s="1"/>
  <c r="D20" i="8"/>
  <c r="D24" i="8"/>
  <c r="D18" i="8"/>
  <c r="D21" i="8"/>
  <c r="D25" i="8"/>
  <c r="D19" i="8"/>
  <c r="C10" i="6"/>
  <c r="F9" i="6"/>
  <c r="C10" i="5"/>
  <c r="C11" i="5"/>
  <c r="C9" i="5"/>
  <c r="D10" i="9"/>
  <c r="D11" i="9"/>
  <c r="D9" i="9"/>
  <c r="F16" i="5"/>
  <c r="F19" i="5"/>
  <c r="F23" i="5"/>
  <c r="F17" i="5"/>
  <c r="F21" i="5"/>
  <c r="F24" i="5"/>
  <c r="F18" i="5"/>
  <c r="F22" i="5"/>
  <c r="E10" i="5"/>
  <c r="E11" i="5"/>
  <c r="E9" i="5"/>
  <c r="J6" i="3"/>
  <c r="J12" i="3" s="1"/>
  <c r="C16" i="6"/>
  <c r="Q16" i="3"/>
  <c r="C28" i="3" s="1"/>
  <c r="C34" i="3" s="1"/>
  <c r="G19" i="5"/>
  <c r="G23" i="5"/>
  <c r="G17" i="5"/>
  <c r="G21" i="5"/>
  <c r="G24" i="5"/>
  <c r="G18" i="5"/>
  <c r="G22" i="5"/>
  <c r="G16" i="5"/>
  <c r="D25" i="7"/>
  <c r="D19" i="7"/>
  <c r="D23" i="7"/>
  <c r="D26" i="7"/>
  <c r="D20" i="7"/>
  <c r="D24" i="7"/>
  <c r="D29" i="7" s="1"/>
  <c r="D18" i="7"/>
  <c r="D21" i="7"/>
  <c r="S20" i="3"/>
  <c r="L28" i="3" s="1"/>
  <c r="L34" i="3" s="1"/>
  <c r="E16" i="9"/>
  <c r="C21" i="7"/>
  <c r="C25" i="7"/>
  <c r="C19" i="7"/>
  <c r="C23" i="7"/>
  <c r="C28" i="7" s="1"/>
  <c r="C26" i="7"/>
  <c r="C20" i="7"/>
  <c r="C24" i="7"/>
  <c r="C18" i="7"/>
  <c r="L23" i="3"/>
  <c r="G17" i="3"/>
  <c r="G23" i="3" s="1"/>
  <c r="L6" i="3"/>
  <c r="E22" i="5"/>
  <c r="E27" i="5" s="1"/>
  <c r="E16" i="5"/>
  <c r="E19" i="5"/>
  <c r="E23" i="5"/>
  <c r="E17" i="5"/>
  <c r="E21" i="5"/>
  <c r="E24" i="5"/>
  <c r="E18" i="5"/>
  <c r="D6" i="3"/>
  <c r="D12" i="3" s="1"/>
  <c r="E21" i="6"/>
  <c r="E25" i="6"/>
  <c r="E19" i="6"/>
  <c r="E23" i="6"/>
  <c r="E26" i="6"/>
  <c r="E20" i="6"/>
  <c r="E24" i="6"/>
  <c r="E18" i="6"/>
  <c r="F32" i="4" l="1"/>
  <c r="C29" i="7"/>
  <c r="D30" i="8"/>
  <c r="D27" i="5"/>
  <c r="E28" i="5"/>
  <c r="E30" i="6"/>
  <c r="F29" i="5"/>
  <c r="G29" i="8"/>
  <c r="F28" i="7"/>
  <c r="G31" i="9"/>
  <c r="F31" i="9"/>
  <c r="G30" i="4"/>
  <c r="F28" i="6"/>
  <c r="E31" i="7"/>
  <c r="E29" i="8"/>
  <c r="D30" i="7"/>
  <c r="C31" i="7"/>
  <c r="G27" i="5"/>
  <c r="F26" i="5"/>
  <c r="C29" i="8"/>
  <c r="G28" i="9"/>
  <c r="D29" i="9"/>
  <c r="D29" i="8"/>
  <c r="G31" i="7"/>
  <c r="C32" i="4"/>
  <c r="E31" i="4"/>
  <c r="F31" i="7"/>
  <c r="F30" i="4"/>
  <c r="F30" i="8"/>
  <c r="D31" i="6"/>
  <c r="D32" i="4"/>
  <c r="G30" i="6"/>
  <c r="G29" i="7"/>
  <c r="C30" i="4"/>
  <c r="E29" i="7"/>
  <c r="C24" i="6"/>
  <c r="C18" i="6"/>
  <c r="C21" i="6"/>
  <c r="C25" i="6"/>
  <c r="C30" i="6" s="1"/>
  <c r="C19" i="6"/>
  <c r="C23" i="6"/>
  <c r="C26" i="6"/>
  <c r="C20" i="6"/>
  <c r="G29" i="5"/>
  <c r="F28" i="5"/>
  <c r="E30" i="4"/>
  <c r="C31" i="8"/>
  <c r="G31" i="8"/>
  <c r="F30" i="7"/>
  <c r="C17" i="3"/>
  <c r="C23" i="3" s="1"/>
  <c r="F29" i="4"/>
  <c r="F29" i="8"/>
  <c r="D30" i="6"/>
  <c r="D31" i="4"/>
  <c r="J34" i="3"/>
  <c r="G29" i="6"/>
  <c r="G28" i="7"/>
  <c r="C29" i="4"/>
  <c r="E28" i="7"/>
  <c r="C30" i="7"/>
  <c r="C26" i="9"/>
  <c r="C20" i="9"/>
  <c r="C24" i="9"/>
  <c r="C29" i="9" s="1"/>
  <c r="C18" i="9"/>
  <c r="C21" i="9"/>
  <c r="C25" i="9"/>
  <c r="C19" i="9"/>
  <c r="C23" i="9"/>
  <c r="L12" i="3"/>
  <c r="G26" i="5"/>
  <c r="E31" i="6"/>
  <c r="E26" i="5"/>
  <c r="D28" i="7"/>
  <c r="D28" i="8"/>
  <c r="E32" i="4"/>
  <c r="C24" i="5"/>
  <c r="C18" i="5"/>
  <c r="C22" i="5"/>
  <c r="C16" i="5"/>
  <c r="C19" i="5"/>
  <c r="C23" i="5"/>
  <c r="C17" i="5"/>
  <c r="C21" i="5"/>
  <c r="F28" i="9"/>
  <c r="F31" i="4"/>
  <c r="F31" i="8"/>
  <c r="G31" i="6"/>
  <c r="G30" i="7"/>
  <c r="D28" i="9"/>
  <c r="C31" i="4"/>
  <c r="E30" i="7"/>
  <c r="E28" i="8"/>
  <c r="E29" i="6"/>
  <c r="E29" i="5"/>
  <c r="D31" i="7"/>
  <c r="E28" i="6"/>
  <c r="E24" i="9"/>
  <c r="E18" i="9"/>
  <c r="E21" i="9"/>
  <c r="E25" i="9"/>
  <c r="E19" i="9"/>
  <c r="E23" i="9"/>
  <c r="E26" i="9"/>
  <c r="E31" i="9" s="1"/>
  <c r="E20" i="9"/>
  <c r="G28" i="5"/>
  <c r="F27" i="5"/>
  <c r="E29" i="4"/>
  <c r="C30" i="8"/>
  <c r="G30" i="8"/>
  <c r="F29" i="7"/>
  <c r="F28" i="8"/>
  <c r="G32" i="4"/>
  <c r="D29" i="6"/>
  <c r="D29" i="5"/>
  <c r="F31" i="6"/>
  <c r="D30" i="4"/>
  <c r="G28" i="6"/>
  <c r="C30" i="9" l="1"/>
  <c r="E29" i="9"/>
  <c r="C28" i="5"/>
  <c r="C28" i="6"/>
  <c r="C27" i="5"/>
  <c r="E28" i="9"/>
  <c r="C31" i="9"/>
  <c r="C28" i="9"/>
  <c r="C29" i="6"/>
  <c r="E30" i="9"/>
  <c r="C29" i="5"/>
  <c r="C26" i="5"/>
  <c r="C31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42" authorId="0" shapeId="0" xr:uid="{00000000-0006-0000-0300-000001000000}">
      <text>
        <r>
          <rPr>
            <sz val="11"/>
            <color theme="1"/>
            <rFont val="Arial"/>
            <family val="2"/>
          </rPr>
          <t>======
ID#AAAAJPltkq4
Microsoft Office User    (2020-03-29 12:38:04)
data fått utlevert av Gasnor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UBOuHglin0tdu3+vqmQ+AdOM/pg=="/>
    </ext>
  </extLst>
</comments>
</file>

<file path=xl/sharedStrings.xml><?xml version="1.0" encoding="utf-8"?>
<sst xmlns="http://schemas.openxmlformats.org/spreadsheetml/2006/main" count="365" uniqueCount="171">
  <si>
    <t xml:space="preserve"> </t>
  </si>
  <si>
    <t>Forbruksdata</t>
  </si>
  <si>
    <t xml:space="preserve">Beregninger for utslipp ved transport, per leveranse </t>
  </si>
  <si>
    <t>Anlegg</t>
  </si>
  <si>
    <t>Kilder for utslippsfaktorer er Norsk Energi og NVE/EU.</t>
  </si>
  <si>
    <t>Sm3</t>
  </si>
  <si>
    <t>Drivstoff</t>
  </si>
  <si>
    <t>Industri - stasjonært bruk</t>
  </si>
  <si>
    <t>CO2</t>
  </si>
  <si>
    <t>NOX</t>
  </si>
  <si>
    <t>SO2</t>
  </si>
  <si>
    <t>Fabrikk 1</t>
  </si>
  <si>
    <t>Utslippsfaktorer (kg/MWh)</t>
  </si>
  <si>
    <r>
      <t>NO</t>
    </r>
    <r>
      <rPr>
        <b/>
        <vertAlign val="subscript"/>
        <sz val="11"/>
        <color theme="1"/>
        <rFont val="Calibri"/>
        <family val="2"/>
      </rPr>
      <t>X</t>
    </r>
  </si>
  <si>
    <r>
      <t>SO</t>
    </r>
    <r>
      <rPr>
        <b/>
        <vertAlign val="subscript"/>
        <sz val="11"/>
        <color theme="1"/>
        <rFont val="Calibri"/>
        <family val="2"/>
      </rPr>
      <t>2</t>
    </r>
  </si>
  <si>
    <t>Partikler</t>
  </si>
  <si>
    <r>
      <t>CO</t>
    </r>
    <r>
      <rPr>
        <b/>
        <vertAlign val="subscript"/>
        <sz val="11"/>
        <color theme="1"/>
        <rFont val="Calibri"/>
        <family val="2"/>
      </rPr>
      <t>2</t>
    </r>
  </si>
  <si>
    <t>Tung olje - direktefyrt</t>
  </si>
  <si>
    <t>Lett olje direktefyrt</t>
  </si>
  <si>
    <t>LPG kjeler</t>
  </si>
  <si>
    <t>LPG ovner og tørker</t>
  </si>
  <si>
    <t>Naturgass kjel</t>
  </si>
  <si>
    <t>Naturgass - direktefyrt</t>
  </si>
  <si>
    <t>Avgift/år (kr)</t>
  </si>
  <si>
    <t>Utslipp oppstrøm i tonn</t>
  </si>
  <si>
    <t>CO2e</t>
  </si>
  <si>
    <t>Fabrikk 4</t>
  </si>
  <si>
    <t>Tetthet diesel (kg/liter)</t>
  </si>
  <si>
    <t>utslipp (kg/tonn drivstoff)</t>
  </si>
  <si>
    <t>Dieselforbruk norsk vei (liter/mil)</t>
  </si>
  <si>
    <t>Antall mil</t>
  </si>
  <si>
    <t>Totalt utslipp (kg)</t>
  </si>
  <si>
    <t>LNG</t>
  </si>
  <si>
    <t>Tungolje</t>
  </si>
  <si>
    <t>Fabrikk 2</t>
  </si>
  <si>
    <t>Lettolje</t>
  </si>
  <si>
    <t>Lett fyringsolje</t>
  </si>
  <si>
    <t>Utslipp LNG-anlegg i tonn</t>
  </si>
  <si>
    <t>LPG</t>
  </si>
  <si>
    <r>
      <rPr>
        <b/>
        <i/>
        <sz val="11"/>
        <rFont val="Arial"/>
        <family val="2"/>
      </rPr>
      <t>Utslipp per år for transport i kg</t>
    </r>
    <r>
      <rPr>
        <sz val="11"/>
        <color theme="1"/>
        <rFont val="Arial"/>
        <family val="2"/>
      </rPr>
      <t xml:space="preserve"> </t>
    </r>
  </si>
  <si>
    <t>neglisjerbar</t>
  </si>
  <si>
    <t>Tung Fyringsolje</t>
  </si>
  <si>
    <t>MDO (Tier 2)</t>
  </si>
  <si>
    <t xml:space="preserve">Naturgass </t>
  </si>
  <si>
    <t>Naturgass</t>
  </si>
  <si>
    <t>Utslipp sluttkunde</t>
  </si>
  <si>
    <t>MWh</t>
  </si>
  <si>
    <t>Fabrikk 3</t>
  </si>
  <si>
    <t>Dagens energibærer</t>
  </si>
  <si>
    <t>Mengde av de ulike gamle energibærerne som er nødevndig for å oppnå samme mengde energi</t>
  </si>
  <si>
    <t>Diesel for veitransport (Euro VI)</t>
  </si>
  <si>
    <r>
      <t>NO</t>
    </r>
    <r>
      <rPr>
        <vertAlign val="subscript"/>
        <sz val="11"/>
        <color theme="1"/>
        <rFont val="Arial"/>
        <family val="2"/>
      </rPr>
      <t>X</t>
    </r>
    <r>
      <rPr>
        <sz val="11"/>
        <color theme="1"/>
        <rFont val="Arial"/>
        <family val="2"/>
      </rPr>
      <t xml:space="preserve"> (kg)</t>
    </r>
  </si>
  <si>
    <r>
      <t>SO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(kg)</t>
    </r>
  </si>
  <si>
    <t xml:space="preserve">Reduksjon </t>
  </si>
  <si>
    <t>Reduksjon</t>
  </si>
  <si>
    <t>Partikler (kg)</t>
  </si>
  <si>
    <r>
      <t>CO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(tonn)</t>
    </r>
  </si>
  <si>
    <t>Fabrikk 5</t>
  </si>
  <si>
    <t>Fabrikk 1 (liter)</t>
  </si>
  <si>
    <t>Alternativ</t>
  </si>
  <si>
    <r>
      <t>NO</t>
    </r>
    <r>
      <rPr>
        <vertAlign val="subscript"/>
        <sz val="11"/>
        <color theme="1"/>
        <rFont val="Arial"/>
        <family val="2"/>
      </rPr>
      <t>X</t>
    </r>
    <r>
      <rPr>
        <sz val="11"/>
        <color theme="1"/>
        <rFont val="Arial"/>
        <family val="2"/>
      </rPr>
      <t xml:space="preserve"> (kg)</t>
    </r>
  </si>
  <si>
    <r>
      <t>SO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(kg)</t>
    </r>
  </si>
  <si>
    <t>Fabrikk 6</t>
  </si>
  <si>
    <t>Fabrikk 1 (tonn)</t>
  </si>
  <si>
    <t>Drivstoff-forbruk trailer oppgitt fra transportør med full last.</t>
  </si>
  <si>
    <t>Fabrikk 2 (liter)</t>
  </si>
  <si>
    <r>
      <t>CO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(tonn)</t>
    </r>
  </si>
  <si>
    <t>Tonn</t>
  </si>
  <si>
    <t>Dieselforbruk motorvei (liter/mil)</t>
  </si>
  <si>
    <t>Fabrikk 2 (tonn)</t>
  </si>
  <si>
    <t>Reduksjon i utslipp</t>
  </si>
  <si>
    <t xml:space="preserve">Lettolje </t>
  </si>
  <si>
    <r>
      <t>NO</t>
    </r>
    <r>
      <rPr>
        <vertAlign val="subscript"/>
        <sz val="11"/>
        <color theme="1"/>
        <rFont val="Arial"/>
        <family val="2"/>
      </rPr>
      <t>X</t>
    </r>
    <r>
      <rPr>
        <sz val="11"/>
        <color theme="1"/>
        <rFont val="Arial"/>
        <family val="2"/>
      </rPr>
      <t xml:space="preserve"> (kg)</t>
    </r>
  </si>
  <si>
    <t>Fabrikk 3 (tonn)</t>
  </si>
  <si>
    <t>Avstander</t>
  </si>
  <si>
    <r>
      <t>SO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(kg)</t>
    </r>
  </si>
  <si>
    <t>Fabrikk 4  (liter)</t>
  </si>
  <si>
    <r>
      <t>CO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(tonn)</t>
    </r>
  </si>
  <si>
    <t>Fabrikk 4  (tonn)</t>
  </si>
  <si>
    <t>Fabrikk 5 (tonn)</t>
  </si>
  <si>
    <t>Tetthet diesel kg/liter</t>
  </si>
  <si>
    <t xml:space="preserve">MWh </t>
  </si>
  <si>
    <t>Sm^3/tonn</t>
  </si>
  <si>
    <t>Fabrikk 6(tonn)</t>
  </si>
  <si>
    <t>Full last trailer (tonn LNG)</t>
  </si>
  <si>
    <t>Energiinnhold LNG MWh/tonn</t>
  </si>
  <si>
    <t>Antall tonn per tur/retur</t>
  </si>
  <si>
    <t>Utslipp (kg)</t>
  </si>
  <si>
    <t xml:space="preserve">Avgiftssatser for aluminiumsbransjen </t>
  </si>
  <si>
    <t>Full last skipning</t>
  </si>
  <si>
    <t>Antall turer</t>
  </si>
  <si>
    <t>Forbruk Skipstransport</t>
  </si>
  <si>
    <t>Redusert sats  CO2 naturgass</t>
  </si>
  <si>
    <t>Tonn LNG</t>
  </si>
  <si>
    <t>Tonn Diesel</t>
  </si>
  <si>
    <t>Diesel</t>
  </si>
  <si>
    <t>CO2 utslipp kg/Sm3 naturgass</t>
  </si>
  <si>
    <t>Oppstrøm (tCO2e/tLNG)</t>
  </si>
  <si>
    <t>LNG-anlegg  (tCO2e/tLNG)</t>
  </si>
  <si>
    <t xml:space="preserve">Utslipp per år for transport i kg </t>
  </si>
  <si>
    <t>Utslipp per år for transport i kg</t>
  </si>
  <si>
    <r>
      <t>NO</t>
    </r>
    <r>
      <rPr>
        <vertAlign val="subscript"/>
        <sz val="11"/>
        <color theme="1"/>
        <rFont val="Calibri"/>
        <family val="2"/>
      </rPr>
      <t>X</t>
    </r>
    <r>
      <rPr>
        <sz val="11"/>
        <color theme="1"/>
        <rFont val="Calibri"/>
        <family val="2"/>
      </rPr>
      <t xml:space="preserve"> (kg)</t>
    </r>
  </si>
  <si>
    <r>
      <t>SO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(kg)</t>
    </r>
  </si>
  <si>
    <r>
      <t>CO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(tonn)</t>
    </r>
  </si>
  <si>
    <r>
      <t>NO</t>
    </r>
    <r>
      <rPr>
        <vertAlign val="subscript"/>
        <sz val="11"/>
        <color theme="1"/>
        <rFont val="Calibri"/>
        <family val="2"/>
      </rPr>
      <t>X</t>
    </r>
    <r>
      <rPr>
        <sz val="11"/>
        <color theme="1"/>
        <rFont val="Calibri"/>
        <family val="2"/>
      </rPr>
      <t xml:space="preserve"> (kg)</t>
    </r>
  </si>
  <si>
    <r>
      <t>SO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(kg)</t>
    </r>
  </si>
  <si>
    <r>
      <t>CO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(tonn)</t>
    </r>
  </si>
  <si>
    <r>
      <t>NO</t>
    </r>
    <r>
      <rPr>
        <vertAlign val="subscript"/>
        <sz val="11"/>
        <color theme="1"/>
        <rFont val="Calibri"/>
        <family val="2"/>
      </rPr>
      <t>X</t>
    </r>
    <r>
      <rPr>
        <sz val="11"/>
        <color theme="1"/>
        <rFont val="Calibri"/>
        <family val="2"/>
      </rPr>
      <t xml:space="preserve"> (kg)</t>
    </r>
  </si>
  <si>
    <r>
      <t>SO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(kg)</t>
    </r>
  </si>
  <si>
    <r>
      <t>CO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(tonn)</t>
    </r>
  </si>
  <si>
    <r>
      <t>NO</t>
    </r>
    <r>
      <rPr>
        <vertAlign val="subscript"/>
        <sz val="11"/>
        <color theme="1"/>
        <rFont val="Arial"/>
        <family val="2"/>
      </rPr>
      <t>X</t>
    </r>
    <r>
      <rPr>
        <sz val="11"/>
        <color theme="1"/>
        <rFont val="Arial"/>
        <family val="2"/>
      </rPr>
      <t xml:space="preserve"> (kg)</t>
    </r>
  </si>
  <si>
    <r>
      <t>SO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(kg)</t>
    </r>
  </si>
  <si>
    <r>
      <t>CO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(tonn)</t>
    </r>
  </si>
  <si>
    <r>
      <t>NO</t>
    </r>
    <r>
      <rPr>
        <vertAlign val="subscript"/>
        <sz val="11"/>
        <color theme="1"/>
        <rFont val="Calibri"/>
        <family val="2"/>
      </rPr>
      <t>X</t>
    </r>
    <r>
      <rPr>
        <sz val="11"/>
        <color theme="1"/>
        <rFont val="Calibri"/>
        <family val="2"/>
      </rPr>
      <t xml:space="preserve"> (kg)</t>
    </r>
  </si>
  <si>
    <r>
      <t>NO</t>
    </r>
    <r>
      <rPr>
        <vertAlign val="subscript"/>
        <sz val="11"/>
        <color theme="1"/>
        <rFont val="Arial"/>
        <family val="2"/>
      </rPr>
      <t>X</t>
    </r>
    <r>
      <rPr>
        <sz val="11"/>
        <color theme="1"/>
        <rFont val="Arial"/>
        <family val="2"/>
      </rPr>
      <t xml:space="preserve"> (kg)</t>
    </r>
  </si>
  <si>
    <r>
      <t>SO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(kg)</t>
    </r>
  </si>
  <si>
    <r>
      <t>SO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(kg)</t>
    </r>
  </si>
  <si>
    <r>
      <t>CO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(tonn)</t>
    </r>
  </si>
  <si>
    <r>
      <t>CO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(tonn)</t>
    </r>
  </si>
  <si>
    <r>
      <t>NO</t>
    </r>
    <r>
      <rPr>
        <vertAlign val="subscript"/>
        <sz val="11"/>
        <color theme="1"/>
        <rFont val="Calibri"/>
        <family val="2"/>
      </rPr>
      <t>X</t>
    </r>
    <r>
      <rPr>
        <sz val="11"/>
        <color theme="1"/>
        <rFont val="Calibri"/>
        <family val="2"/>
      </rPr>
      <t xml:space="preserve"> (kg)</t>
    </r>
  </si>
  <si>
    <r>
      <t>SO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(kg)</t>
    </r>
  </si>
  <si>
    <r>
      <t>NO</t>
    </r>
    <r>
      <rPr>
        <vertAlign val="subscript"/>
        <sz val="11"/>
        <color theme="1"/>
        <rFont val="Arial"/>
        <family val="2"/>
      </rPr>
      <t>X</t>
    </r>
    <r>
      <rPr>
        <sz val="11"/>
        <color theme="1"/>
        <rFont val="Arial"/>
        <family val="2"/>
      </rPr>
      <t xml:space="preserve"> (kg)</t>
    </r>
  </si>
  <si>
    <r>
      <t>CO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(tonn)</t>
    </r>
  </si>
  <si>
    <r>
      <t>SO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(kg)</t>
    </r>
  </si>
  <si>
    <r>
      <t>CO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(tonn)</t>
    </r>
  </si>
  <si>
    <r>
      <t>NO</t>
    </r>
    <r>
      <rPr>
        <vertAlign val="subscript"/>
        <sz val="11"/>
        <color theme="1"/>
        <rFont val="Calibri"/>
        <family val="2"/>
      </rPr>
      <t>X</t>
    </r>
    <r>
      <rPr>
        <sz val="11"/>
        <color theme="1"/>
        <rFont val="Calibri"/>
        <family val="2"/>
      </rPr>
      <t xml:space="preserve"> (kg)</t>
    </r>
  </si>
  <si>
    <r>
      <t>SO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(kg)</t>
    </r>
  </si>
  <si>
    <t>c</t>
  </si>
  <si>
    <r>
      <t>CO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(tonn)</t>
    </r>
  </si>
  <si>
    <r>
      <t>NO</t>
    </r>
    <r>
      <rPr>
        <vertAlign val="subscript"/>
        <sz val="11"/>
        <color theme="1"/>
        <rFont val="Calibri"/>
        <family val="2"/>
      </rPr>
      <t>X</t>
    </r>
    <r>
      <rPr>
        <sz val="11"/>
        <color theme="1"/>
        <rFont val="Calibri"/>
        <family val="2"/>
      </rPr>
      <t xml:space="preserve"> (kg)</t>
    </r>
  </si>
  <si>
    <r>
      <t>SO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(kg)</t>
    </r>
  </si>
  <si>
    <r>
      <t>CO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(tonn)</t>
    </r>
  </si>
  <si>
    <r>
      <t>NO</t>
    </r>
    <r>
      <rPr>
        <vertAlign val="subscript"/>
        <sz val="11"/>
        <color theme="1"/>
        <rFont val="Calibri"/>
        <family val="2"/>
      </rPr>
      <t>X</t>
    </r>
    <r>
      <rPr>
        <sz val="11"/>
        <color theme="1"/>
        <rFont val="Calibri"/>
        <family val="2"/>
      </rPr>
      <t xml:space="preserve"> (kg)</t>
    </r>
  </si>
  <si>
    <r>
      <t>SO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(kg)</t>
    </r>
  </si>
  <si>
    <r>
      <t>CO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(tonn)</t>
    </r>
  </si>
  <si>
    <r>
      <t>NO</t>
    </r>
    <r>
      <rPr>
        <vertAlign val="subscript"/>
        <sz val="11"/>
        <color theme="1"/>
        <rFont val="Calibri"/>
        <family val="2"/>
      </rPr>
      <t>X</t>
    </r>
    <r>
      <rPr>
        <sz val="11"/>
        <color theme="1"/>
        <rFont val="Calibri"/>
        <family val="2"/>
      </rPr>
      <t xml:space="preserve"> (kg)</t>
    </r>
  </si>
  <si>
    <r>
      <t>SO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(kg)</t>
    </r>
  </si>
  <si>
    <r>
      <t>CO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(tonn)</t>
    </r>
  </si>
  <si>
    <r>
      <t>NO</t>
    </r>
    <r>
      <rPr>
        <vertAlign val="subscript"/>
        <sz val="11"/>
        <color theme="1"/>
        <rFont val="Calibri"/>
        <family val="2"/>
      </rPr>
      <t>X</t>
    </r>
    <r>
      <rPr>
        <sz val="11"/>
        <color theme="1"/>
        <rFont val="Calibri"/>
        <family val="2"/>
      </rPr>
      <t xml:space="preserve"> (kg)</t>
    </r>
  </si>
  <si>
    <r>
      <t>SO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(kg)</t>
    </r>
  </si>
  <si>
    <r>
      <t>CO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(tonn)</t>
    </r>
  </si>
  <si>
    <r>
      <t>NO</t>
    </r>
    <r>
      <rPr>
        <vertAlign val="subscript"/>
        <sz val="11"/>
        <color theme="1"/>
        <rFont val="Calibri"/>
        <family val="2"/>
      </rPr>
      <t>X</t>
    </r>
    <r>
      <rPr>
        <sz val="11"/>
        <color theme="1"/>
        <rFont val="Calibri"/>
        <family val="2"/>
      </rPr>
      <t xml:space="preserve"> (kg)</t>
    </r>
  </si>
  <si>
    <r>
      <t>SO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(kg)</t>
    </r>
  </si>
  <si>
    <r>
      <t>CO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(tonn)</t>
    </r>
  </si>
  <si>
    <r>
      <t>NO</t>
    </r>
    <r>
      <rPr>
        <vertAlign val="subscript"/>
        <sz val="11"/>
        <color theme="1"/>
        <rFont val="Calibri"/>
        <family val="2"/>
      </rPr>
      <t>X</t>
    </r>
    <r>
      <rPr>
        <sz val="11"/>
        <color theme="1"/>
        <rFont val="Calibri"/>
        <family val="2"/>
      </rPr>
      <t xml:space="preserve"> (kg)</t>
    </r>
  </si>
  <si>
    <r>
      <t>SO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(kg)</t>
    </r>
  </si>
  <si>
    <r>
      <t>CO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(tonn)</t>
    </r>
  </si>
  <si>
    <t>Kvotepriser CO2 (NOK/t) (gjennomsnittlig)</t>
  </si>
  <si>
    <t>Analyseenhet 3 (fabrikk 3)</t>
  </si>
  <si>
    <t>Analyseenhet 5  (fabrikk 5)</t>
  </si>
  <si>
    <t>Analyseenhet 6  (fabrikk 6)</t>
  </si>
  <si>
    <t>Analyseenhet 4  (fabrikk 4)</t>
  </si>
  <si>
    <t>Analyseenhet 2  (fabrikk 2)</t>
  </si>
  <si>
    <t>Analyseenhet 1 (fabrikk 1)</t>
  </si>
  <si>
    <t>Analyseenhet 2 (fabrikk 2)</t>
  </si>
  <si>
    <t>Analyseenhet 4 (fabrikk 4)</t>
  </si>
  <si>
    <t>Analyseenhet 5 (fabrikk 5)</t>
  </si>
  <si>
    <t>Analyseenhet 6 (fabrikk 6)</t>
  </si>
  <si>
    <t>Antall km analyseenhet 2 (fabrikk 2)</t>
  </si>
  <si>
    <t>Antall km analyseenhet 4 (fabrikk 4)</t>
  </si>
  <si>
    <t>Antall km analyseenhet 6 (fabrikk 6)</t>
  </si>
  <si>
    <t>Forbruk analyseenhet 3 (fabrikk 3) (t/r)</t>
  </si>
  <si>
    <t>Forbruk analyseenhet 5 (t/r)</t>
  </si>
  <si>
    <t>Antall Sm3 per t CO2</t>
  </si>
  <si>
    <t>Kvotepris CO2/Sm^3 naturgass</t>
  </si>
  <si>
    <t>grunnavgift mineralolje (NOK/l)</t>
  </si>
  <si>
    <t>Sum CO2 avgift naturgass (NOK/Sm^3)</t>
  </si>
  <si>
    <t>MWh/l</t>
  </si>
  <si>
    <t>MWh/t</t>
  </si>
  <si>
    <t>Forutsetninger for beregninger</t>
  </si>
  <si>
    <t>utslipp (kg) per tonn drivstoff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</si>
</sst>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0.000"/>
    <numFmt numFmtId="166" formatCode="0.000000"/>
    <numFmt numFmtId="167" formatCode="#,##0.000"/>
    <numFmt numFmtId="168" formatCode="#,##0.0000"/>
    <numFmt numFmtId="169" formatCode="#,##0.0"/>
  </numFmts>
  <fonts count="44">
    <font>
      <sz val="11"/>
      <color theme="1"/>
      <name val="Arial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6"/>
      <color theme="1"/>
      <name val="Calibri"/>
      <family val="2"/>
    </font>
    <font>
      <sz val="16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Docs-Calibri"/>
    </font>
    <font>
      <i/>
      <sz val="10"/>
      <color rgb="FF000000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i/>
      <sz val="11"/>
      <name val="Calibri"/>
      <family val="2"/>
    </font>
    <font>
      <b/>
      <sz val="16"/>
      <color theme="1"/>
      <name val="Calibri"/>
      <family val="2"/>
    </font>
    <font>
      <b/>
      <sz val="10"/>
      <color rgb="FF000000"/>
      <name val="Docs-Calibri"/>
    </font>
    <font>
      <b/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333333"/>
      <name val="Arial"/>
      <family val="2"/>
    </font>
    <font>
      <sz val="11"/>
      <color rgb="FF444444"/>
      <name val="Arial"/>
      <family val="2"/>
    </font>
    <font>
      <b/>
      <sz val="10"/>
      <color theme="1"/>
      <name val="Arial"/>
      <family val="2"/>
    </font>
    <font>
      <b/>
      <sz val="16"/>
      <color rgb="FF333333"/>
      <name val="Calibri"/>
      <family val="2"/>
    </font>
    <font>
      <sz val="12"/>
      <color rgb="FF333333"/>
      <name val="Arial"/>
      <family val="2"/>
    </font>
    <font>
      <sz val="16"/>
      <color rgb="FF333333"/>
      <name val="Calibri"/>
      <family val="2"/>
    </font>
    <font>
      <sz val="18"/>
      <color rgb="FF000000"/>
      <name val="Calibri"/>
      <family val="2"/>
    </font>
    <font>
      <sz val="18"/>
      <color theme="0"/>
      <name val="Calibri"/>
      <family val="2"/>
    </font>
    <font>
      <sz val="18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sz val="11"/>
      <color theme="1"/>
      <name val="Calibri"/>
      <family val="2"/>
    </font>
    <font>
      <b/>
      <vertAlign val="subscript"/>
      <sz val="11"/>
      <color theme="1"/>
      <name val="Calibri"/>
      <family val="2"/>
    </font>
    <font>
      <b/>
      <i/>
      <sz val="11"/>
      <name val="Arial"/>
      <family val="2"/>
    </font>
    <font>
      <vertAlign val="subscript"/>
      <sz val="11"/>
      <color theme="1"/>
      <name val="Arial"/>
      <family val="2"/>
    </font>
    <font>
      <vertAlign val="subscript"/>
      <sz val="11"/>
      <color theme="1"/>
      <name val="Calibri"/>
      <family val="2"/>
    </font>
    <font>
      <b/>
      <sz val="11"/>
      <name val="Arial"/>
      <family val="2"/>
    </font>
    <font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8EAADB"/>
        <bgColor rgb="FF8EAADB"/>
      </patternFill>
    </fill>
    <fill>
      <patternFill patternType="solid">
        <fgColor rgb="FFFFC000"/>
        <bgColor rgb="FFFFC000"/>
      </patternFill>
    </fill>
    <fill>
      <patternFill patternType="solid">
        <fgColor rgb="FFA8D08D"/>
        <bgColor rgb="FFA8D08D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B4C6E7"/>
        <bgColor rgb="FFB4C6E7"/>
      </patternFill>
    </fill>
    <fill>
      <patternFill patternType="solid">
        <fgColor theme="8"/>
        <bgColor theme="8"/>
      </patternFill>
    </fill>
    <fill>
      <patternFill patternType="solid">
        <fgColor rgb="FFC5E0B3"/>
        <bgColor rgb="FFC5E0B3"/>
      </patternFill>
    </fill>
    <fill>
      <patternFill patternType="solid">
        <fgColor rgb="FFAEABAB"/>
        <bgColor rgb="FFAEABAB"/>
      </patternFill>
    </fill>
    <fill>
      <patternFill patternType="solid">
        <fgColor rgb="FFE2EFD9"/>
        <bgColor rgb="FFE2EFD9"/>
      </patternFill>
    </fill>
    <fill>
      <patternFill patternType="solid">
        <fgColor rgb="FFD9E2F3"/>
        <bgColor rgb="FFD9E2F3"/>
      </patternFill>
    </fill>
  </fills>
  <borders count="7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ck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ck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1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2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 applyAlignment="1"/>
    <xf numFmtId="0" fontId="1" fillId="0" borderId="5" xfId="0" applyFont="1" applyBorder="1"/>
    <xf numFmtId="0" fontId="1" fillId="0" borderId="4" xfId="0" applyFont="1" applyBorder="1"/>
    <xf numFmtId="0" fontId="4" fillId="0" borderId="4" xfId="0" applyFont="1" applyBorder="1"/>
    <xf numFmtId="0" fontId="4" fillId="0" borderId="5" xfId="0" applyFont="1" applyBorder="1"/>
    <xf numFmtId="0" fontId="1" fillId="0" borderId="0" xfId="0" applyFont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4" xfId="0" applyFont="1" applyBorder="1"/>
    <xf numFmtId="0" fontId="1" fillId="0" borderId="9" xfId="0" applyFont="1" applyBorder="1"/>
    <xf numFmtId="0" fontId="1" fillId="0" borderId="5" xfId="0" applyFont="1" applyBorder="1"/>
    <xf numFmtId="0" fontId="6" fillId="0" borderId="0" xfId="0" applyFont="1"/>
    <xf numFmtId="0" fontId="7" fillId="0" borderId="14" xfId="0" applyFont="1" applyBorder="1"/>
    <xf numFmtId="0" fontId="1" fillId="0" borderId="14" xfId="0" applyFont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6" fillId="0" borderId="14" xfId="0" applyFont="1" applyBorder="1"/>
    <xf numFmtId="0" fontId="7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7" xfId="0" applyFont="1" applyBorder="1"/>
    <xf numFmtId="0" fontId="6" fillId="0" borderId="0" xfId="0" applyFont="1" applyAlignment="1">
      <alignment horizontal="center"/>
    </xf>
    <xf numFmtId="0" fontId="10" fillId="0" borderId="0" xfId="0" applyFont="1" applyAlignment="1"/>
    <xf numFmtId="0" fontId="11" fillId="0" borderId="0" xfId="0" applyFont="1" applyAlignment="1"/>
    <xf numFmtId="0" fontId="4" fillId="0" borderId="0" xfId="0" applyFont="1" applyAlignment="1"/>
    <xf numFmtId="0" fontId="10" fillId="0" borderId="0" xfId="0" applyFont="1"/>
    <xf numFmtId="0" fontId="1" fillId="0" borderId="14" xfId="0" applyFont="1" applyBorder="1" applyAlignment="1"/>
    <xf numFmtId="3" fontId="8" fillId="4" borderId="18" xfId="0" applyNumberFormat="1" applyFont="1" applyFill="1" applyBorder="1"/>
    <xf numFmtId="0" fontId="12" fillId="0" borderId="14" xfId="0" applyFont="1" applyBorder="1" applyAlignment="1"/>
    <xf numFmtId="3" fontId="8" fillId="4" borderId="14" xfId="0" applyNumberFormat="1" applyFont="1" applyFill="1" applyBorder="1"/>
    <xf numFmtId="0" fontId="13" fillId="5" borderId="14" xfId="0" applyFont="1" applyFill="1" applyBorder="1" applyAlignment="1">
      <alignment horizontal="left"/>
    </xf>
    <xf numFmtId="0" fontId="9" fillId="0" borderId="0" xfId="0" applyFont="1" applyAlignment="1"/>
    <xf numFmtId="0" fontId="6" fillId="0" borderId="0" xfId="0" applyFont="1" applyAlignment="1"/>
    <xf numFmtId="0" fontId="15" fillId="6" borderId="19" xfId="0" applyFont="1" applyFill="1" applyBorder="1" applyAlignment="1"/>
    <xf numFmtId="0" fontId="7" fillId="6" borderId="21" xfId="0" applyFont="1" applyFill="1" applyBorder="1" applyAlignment="1">
      <alignment horizontal="left"/>
    </xf>
    <xf numFmtId="0" fontId="7" fillId="6" borderId="23" xfId="0" applyFont="1" applyFill="1" applyBorder="1" applyAlignment="1">
      <alignment horizontal="left"/>
    </xf>
    <xf numFmtId="3" fontId="1" fillId="0" borderId="0" xfId="0" applyNumberFormat="1" applyFont="1"/>
    <xf numFmtId="0" fontId="4" fillId="4" borderId="24" xfId="0" applyFont="1" applyFill="1" applyBorder="1" applyAlignment="1"/>
    <xf numFmtId="0" fontId="9" fillId="0" borderId="1" xfId="0" applyFont="1" applyBorder="1" applyAlignment="1"/>
    <xf numFmtId="164" fontId="4" fillId="4" borderId="25" xfId="0" applyNumberFormat="1" applyFont="1" applyFill="1" applyBorder="1"/>
    <xf numFmtId="0" fontId="9" fillId="0" borderId="3" xfId="0" applyFont="1" applyBorder="1" applyAlignment="1"/>
    <xf numFmtId="2" fontId="1" fillId="2" borderId="14" xfId="0" applyNumberFormat="1" applyFont="1" applyFill="1" applyBorder="1"/>
    <xf numFmtId="0" fontId="17" fillId="0" borderId="1" xfId="0" applyFont="1" applyBorder="1"/>
    <xf numFmtId="164" fontId="4" fillId="4" borderId="26" xfId="0" applyNumberFormat="1" applyFont="1" applyFill="1" applyBorder="1"/>
    <xf numFmtId="0" fontId="1" fillId="0" borderId="14" xfId="0" applyFont="1" applyBorder="1"/>
    <xf numFmtId="0" fontId="1" fillId="2" borderId="14" xfId="0" applyFont="1" applyFill="1" applyBorder="1"/>
    <xf numFmtId="0" fontId="10" fillId="0" borderId="0" xfId="0" applyFont="1"/>
    <xf numFmtId="0" fontId="17" fillId="0" borderId="4" xfId="0" applyFont="1" applyBorder="1" applyAlignment="1">
      <alignment vertical="top"/>
    </xf>
    <xf numFmtId="0" fontId="19" fillId="6" borderId="19" xfId="0" applyFont="1" applyFill="1" applyBorder="1" applyAlignment="1"/>
    <xf numFmtId="0" fontId="17" fillId="0" borderId="5" xfId="0" applyFont="1" applyBorder="1" applyAlignment="1">
      <alignment vertical="top"/>
    </xf>
    <xf numFmtId="0" fontId="9" fillId="0" borderId="4" xfId="0" applyFont="1" applyBorder="1" applyAlignment="1"/>
    <xf numFmtId="0" fontId="9" fillId="0" borderId="5" xfId="0" applyFont="1" applyBorder="1" applyAlignment="1"/>
    <xf numFmtId="3" fontId="1" fillId="4" borderId="14" xfId="0" applyNumberFormat="1" applyFont="1" applyFill="1" applyBorder="1"/>
    <xf numFmtId="0" fontId="15" fillId="0" borderId="0" xfId="0" applyFont="1"/>
    <xf numFmtId="0" fontId="9" fillId="6" borderId="27" xfId="0" applyFont="1" applyFill="1" applyBorder="1" applyAlignment="1">
      <alignment horizontal="center"/>
    </xf>
    <xf numFmtId="3" fontId="1" fillId="4" borderId="14" xfId="0" applyNumberFormat="1" applyFont="1" applyFill="1" applyBorder="1" applyAlignment="1">
      <alignment horizontal="center"/>
    </xf>
    <xf numFmtId="0" fontId="6" fillId="4" borderId="28" xfId="0" applyFont="1" applyFill="1" applyBorder="1"/>
    <xf numFmtId="3" fontId="1" fillId="7" borderId="14" xfId="0" applyNumberFormat="1" applyFont="1" applyFill="1" applyBorder="1"/>
    <xf numFmtId="3" fontId="1" fillId="2" borderId="14" xfId="0" applyNumberFormat="1" applyFont="1" applyFill="1" applyBorder="1"/>
    <xf numFmtId="0" fontId="17" fillId="0" borderId="11" xfId="0" applyFont="1" applyBorder="1" applyAlignment="1">
      <alignment vertical="top"/>
    </xf>
    <xf numFmtId="0" fontId="6" fillId="4" borderId="31" xfId="0" applyFont="1" applyFill="1" applyBorder="1"/>
    <xf numFmtId="4" fontId="17" fillId="0" borderId="13" xfId="0" applyNumberFormat="1" applyFont="1" applyBorder="1" applyAlignment="1">
      <alignment vertical="top"/>
    </xf>
    <xf numFmtId="0" fontId="17" fillId="0" borderId="5" xfId="0" applyFont="1" applyBorder="1" applyAlignment="1"/>
    <xf numFmtId="0" fontId="6" fillId="4" borderId="24" xfId="0" applyFont="1" applyFill="1" applyBorder="1"/>
    <xf numFmtId="0" fontId="6" fillId="0" borderId="0" xfId="0" applyFont="1"/>
    <xf numFmtId="1" fontId="12" fillId="2" borderId="14" xfId="0" applyNumberFormat="1" applyFont="1" applyFill="1" applyBorder="1" applyAlignment="1"/>
    <xf numFmtId="0" fontId="17" fillId="0" borderId="0" xfId="0" applyFont="1"/>
    <xf numFmtId="0" fontId="17" fillId="0" borderId="13" xfId="0" applyFont="1" applyBorder="1" applyAlignment="1"/>
    <xf numFmtId="0" fontId="20" fillId="0" borderId="0" xfId="0" applyFont="1" applyAlignment="1">
      <alignment horizontal="center"/>
    </xf>
    <xf numFmtId="0" fontId="20" fillId="0" borderId="0" xfId="0" applyFont="1"/>
    <xf numFmtId="3" fontId="20" fillId="0" borderId="0" xfId="0" applyNumberFormat="1" applyFont="1"/>
    <xf numFmtId="3" fontId="22" fillId="6" borderId="19" xfId="0" applyNumberFormat="1" applyFont="1" applyFill="1" applyBorder="1" applyAlignment="1">
      <alignment horizontal="left"/>
    </xf>
    <xf numFmtId="0" fontId="9" fillId="0" borderId="0" xfId="0" applyFont="1" applyAlignment="1"/>
    <xf numFmtId="3" fontId="7" fillId="6" borderId="21" xfId="0" applyNumberFormat="1" applyFont="1" applyFill="1" applyBorder="1" applyAlignment="1">
      <alignment horizontal="left"/>
    </xf>
    <xf numFmtId="3" fontId="9" fillId="0" borderId="0" xfId="0" applyNumberFormat="1" applyFont="1" applyAlignment="1">
      <alignment horizontal="right"/>
    </xf>
    <xf numFmtId="3" fontId="7" fillId="6" borderId="23" xfId="0" applyNumberFormat="1" applyFont="1" applyFill="1" applyBorder="1" applyAlignment="1">
      <alignment horizontal="left"/>
    </xf>
    <xf numFmtId="0" fontId="1" fillId="8" borderId="14" xfId="0" applyFont="1" applyFill="1" applyBorder="1"/>
    <xf numFmtId="3" fontId="7" fillId="4" borderId="35" xfId="0" applyNumberFormat="1" applyFont="1" applyFill="1" applyBorder="1" applyAlignment="1">
      <alignment horizontal="left"/>
    </xf>
    <xf numFmtId="0" fontId="1" fillId="8" borderId="14" xfId="0" applyFont="1" applyFill="1" applyBorder="1" applyAlignment="1">
      <alignment horizontal="center"/>
    </xf>
    <xf numFmtId="3" fontId="6" fillId="4" borderId="30" xfId="0" applyNumberFormat="1" applyFont="1" applyFill="1" applyBorder="1"/>
    <xf numFmtId="0" fontId="1" fillId="9" borderId="14" xfId="0" applyFont="1" applyFill="1" applyBorder="1"/>
    <xf numFmtId="3" fontId="12" fillId="7" borderId="14" xfId="0" applyNumberFormat="1" applyFont="1" applyFill="1" applyBorder="1"/>
    <xf numFmtId="3" fontId="6" fillId="4" borderId="36" xfId="0" applyNumberFormat="1" applyFont="1" applyFill="1" applyBorder="1"/>
    <xf numFmtId="3" fontId="1" fillId="9" borderId="14" xfId="0" applyNumberFormat="1" applyFont="1" applyFill="1" applyBorder="1"/>
    <xf numFmtId="3" fontId="7" fillId="6" borderId="19" xfId="0" applyNumberFormat="1" applyFont="1" applyFill="1" applyBorder="1" applyAlignment="1">
      <alignment horizontal="left"/>
    </xf>
    <xf numFmtId="0" fontId="1" fillId="10" borderId="14" xfId="0" applyFont="1" applyFill="1" applyBorder="1"/>
    <xf numFmtId="3" fontId="6" fillId="4" borderId="31" xfId="0" applyNumberFormat="1" applyFont="1" applyFill="1" applyBorder="1" applyAlignment="1">
      <alignment horizontal="left"/>
    </xf>
    <xf numFmtId="0" fontId="1" fillId="10" borderId="14" xfId="0" applyFont="1" applyFill="1" applyBorder="1" applyAlignment="1">
      <alignment horizontal="center"/>
    </xf>
    <xf numFmtId="3" fontId="6" fillId="4" borderId="14" xfId="0" applyNumberFormat="1" applyFont="1" applyFill="1" applyBorder="1"/>
    <xf numFmtId="0" fontId="1" fillId="7" borderId="14" xfId="0" applyFont="1" applyFill="1" applyBorder="1"/>
    <xf numFmtId="3" fontId="6" fillId="4" borderId="41" xfId="0" applyNumberFormat="1" applyFont="1" applyFill="1" applyBorder="1"/>
    <xf numFmtId="3" fontId="9" fillId="0" borderId="0" xfId="0" applyNumberFormat="1" applyFont="1" applyAlignment="1"/>
    <xf numFmtId="3" fontId="9" fillId="0" borderId="0" xfId="0" applyNumberFormat="1" applyFont="1"/>
    <xf numFmtId="0" fontId="1" fillId="0" borderId="0" xfId="0" applyFont="1" applyAlignment="1">
      <alignment horizontal="center"/>
    </xf>
    <xf numFmtId="3" fontId="6" fillId="4" borderId="35" xfId="0" applyNumberFormat="1" applyFont="1" applyFill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11" borderId="14" xfId="0" applyFont="1" applyFill="1" applyBorder="1"/>
    <xf numFmtId="3" fontId="1" fillId="11" borderId="14" xfId="0" applyNumberFormat="1" applyFont="1" applyFill="1" applyBorder="1"/>
    <xf numFmtId="0" fontId="12" fillId="4" borderId="14" xfId="0" applyFont="1" applyFill="1" applyBorder="1" applyAlignment="1"/>
    <xf numFmtId="2" fontId="1" fillId="0" borderId="4" xfId="0" applyNumberFormat="1" applyFont="1" applyBorder="1" applyAlignment="1">
      <alignment horizontal="center"/>
    </xf>
    <xf numFmtId="164" fontId="1" fillId="4" borderId="42" xfId="0" applyNumberFormat="1" applyFont="1" applyFill="1" applyBorder="1"/>
    <xf numFmtId="2" fontId="1" fillId="0" borderId="0" xfId="0" applyNumberFormat="1" applyFont="1" applyAlignment="1">
      <alignment horizontal="center"/>
    </xf>
    <xf numFmtId="3" fontId="1" fillId="12" borderId="14" xfId="0" applyNumberFormat="1" applyFont="1" applyFill="1" applyBorder="1"/>
    <xf numFmtId="3" fontId="1" fillId="0" borderId="14" xfId="0" applyNumberFormat="1" applyFont="1" applyBorder="1"/>
    <xf numFmtId="0" fontId="7" fillId="0" borderId="4" xfId="0" applyFont="1" applyBorder="1"/>
    <xf numFmtId="3" fontId="13" fillId="0" borderId="14" xfId="0" applyNumberFormat="1" applyFont="1" applyBorder="1" applyAlignment="1">
      <alignment horizontal="center" vertical="center"/>
    </xf>
    <xf numFmtId="0" fontId="1" fillId="0" borderId="30" xfId="0" applyFont="1" applyBorder="1"/>
    <xf numFmtId="3" fontId="6" fillId="4" borderId="24" xfId="0" applyNumberFormat="1" applyFont="1" applyFill="1" applyBorder="1" applyAlignment="1">
      <alignment horizontal="left"/>
    </xf>
    <xf numFmtId="0" fontId="12" fillId="2" borderId="43" xfId="0" applyFont="1" applyFill="1" applyBorder="1" applyAlignment="1"/>
    <xf numFmtId="2" fontId="1" fillId="2" borderId="43" xfId="0" applyNumberFormat="1" applyFont="1" applyFill="1" applyBorder="1"/>
    <xf numFmtId="0" fontId="2" fillId="0" borderId="14" xfId="0" applyFont="1" applyBorder="1" applyAlignment="1">
      <alignment horizontal="center"/>
    </xf>
    <xf numFmtId="3" fontId="6" fillId="4" borderId="25" xfId="0" applyNumberFormat="1" applyFont="1" applyFill="1" applyBorder="1"/>
    <xf numFmtId="2" fontId="1" fillId="7" borderId="14" xfId="0" applyNumberFormat="1" applyFont="1" applyFill="1" applyBorder="1"/>
    <xf numFmtId="3" fontId="6" fillId="4" borderId="26" xfId="0" applyNumberFormat="1" applyFont="1" applyFill="1" applyBorder="1"/>
    <xf numFmtId="164" fontId="1" fillId="4" borderId="18" xfId="0" applyNumberFormat="1" applyFont="1" applyFill="1" applyBorder="1"/>
    <xf numFmtId="164" fontId="12" fillId="7" borderId="14" xfId="0" applyNumberFormat="1" applyFont="1" applyFill="1" applyBorder="1" applyAlignment="1"/>
    <xf numFmtId="3" fontId="6" fillId="0" borderId="47" xfId="0" applyNumberFormat="1" applyFont="1" applyBorder="1" applyAlignment="1">
      <alignment horizontal="left"/>
    </xf>
    <xf numFmtId="2" fontId="12" fillId="7" borderId="14" xfId="0" applyNumberFormat="1" applyFont="1" applyFill="1" applyBorder="1" applyAlignment="1"/>
    <xf numFmtId="3" fontId="6" fillId="0" borderId="14" xfId="0" applyNumberFormat="1" applyFont="1" applyBorder="1"/>
    <xf numFmtId="164" fontId="1" fillId="2" borderId="14" xfId="0" applyNumberFormat="1" applyFont="1" applyFill="1" applyBorder="1"/>
    <xf numFmtId="3" fontId="6" fillId="0" borderId="41" xfId="0" applyNumberFormat="1" applyFont="1" applyBorder="1"/>
    <xf numFmtId="0" fontId="12" fillId="9" borderId="48" xfId="0" applyFont="1" applyFill="1" applyBorder="1" applyAlignment="1"/>
    <xf numFmtId="2" fontId="1" fillId="9" borderId="48" xfId="0" applyNumberFormat="1" applyFont="1" applyFill="1" applyBorder="1"/>
    <xf numFmtId="0" fontId="10" fillId="0" borderId="0" xfId="0" applyFont="1" applyAlignment="1">
      <alignment horizontal="left"/>
    </xf>
    <xf numFmtId="164" fontId="1" fillId="9" borderId="14" xfId="0" applyNumberFormat="1" applyFont="1" applyFill="1" applyBorder="1"/>
    <xf numFmtId="3" fontId="10" fillId="0" borderId="0" xfId="0" applyNumberFormat="1" applyFont="1"/>
    <xf numFmtId="164" fontId="10" fillId="0" borderId="0" xfId="0" applyNumberFormat="1" applyFont="1"/>
    <xf numFmtId="0" fontId="12" fillId="7" borderId="43" xfId="0" applyFont="1" applyFill="1" applyBorder="1" applyAlignment="1"/>
    <xf numFmtId="3" fontId="6" fillId="0" borderId="49" xfId="0" applyNumberFormat="1" applyFont="1" applyBorder="1" applyAlignment="1">
      <alignment horizontal="left"/>
    </xf>
    <xf numFmtId="2" fontId="1" fillId="7" borderId="43" xfId="0" applyNumberFormat="1" applyFont="1" applyFill="1" applyBorder="1"/>
    <xf numFmtId="164" fontId="1" fillId="7" borderId="14" xfId="0" applyNumberFormat="1" applyFont="1" applyFill="1" applyBorder="1"/>
    <xf numFmtId="3" fontId="6" fillId="0" borderId="25" xfId="0" applyNumberFormat="1" applyFont="1" applyBorder="1"/>
    <xf numFmtId="164" fontId="1" fillId="11" borderId="14" xfId="0" applyNumberFormat="1" applyFont="1" applyFill="1" applyBorder="1"/>
    <xf numFmtId="164" fontId="1" fillId="12" borderId="14" xfId="0" applyNumberFormat="1" applyFont="1" applyFill="1" applyBorder="1"/>
    <xf numFmtId="3" fontId="6" fillId="0" borderId="26" xfId="0" applyNumberFormat="1" applyFont="1" applyBorder="1"/>
    <xf numFmtId="0" fontId="12" fillId="11" borderId="48" xfId="0" applyFont="1" applyFill="1" applyBorder="1" applyAlignment="1"/>
    <xf numFmtId="2" fontId="1" fillId="12" borderId="14" xfId="0" applyNumberFormat="1" applyFont="1" applyFill="1" applyBorder="1"/>
    <xf numFmtId="2" fontId="1" fillId="11" borderId="48" xfId="0" applyNumberFormat="1" applyFont="1" applyFill="1" applyBorder="1"/>
    <xf numFmtId="2" fontId="1" fillId="12" borderId="50" xfId="0" applyNumberFormat="1" applyFont="1" applyFill="1" applyBorder="1"/>
    <xf numFmtId="0" fontId="4" fillId="0" borderId="0" xfId="0" applyFont="1"/>
    <xf numFmtId="0" fontId="2" fillId="0" borderId="14" xfId="0" applyFont="1" applyBorder="1"/>
    <xf numFmtId="3" fontId="12" fillId="2" borderId="14" xfId="0" applyNumberFormat="1" applyFont="1" applyFill="1" applyBorder="1"/>
    <xf numFmtId="1" fontId="12" fillId="12" borderId="50" xfId="0" applyNumberFormat="1" applyFont="1" applyFill="1" applyBorder="1" applyAlignment="1"/>
    <xf numFmtId="3" fontId="12" fillId="11" borderId="14" xfId="0" applyNumberFormat="1" applyFont="1" applyFill="1" applyBorder="1"/>
    <xf numFmtId="0" fontId="12" fillId="12" borderId="43" xfId="0" applyFont="1" applyFill="1" applyBorder="1" applyAlignment="1"/>
    <xf numFmtId="164" fontId="1" fillId="2" borderId="42" xfId="0" applyNumberFormat="1" applyFont="1" applyFill="1" applyBorder="1"/>
    <xf numFmtId="164" fontId="12" fillId="9" borderId="42" xfId="0" applyNumberFormat="1" applyFont="1" applyFill="1" applyBorder="1"/>
    <xf numFmtId="2" fontId="1" fillId="12" borderId="43" xfId="0" applyNumberFormat="1" applyFont="1" applyFill="1" applyBorder="1"/>
    <xf numFmtId="164" fontId="1" fillId="7" borderId="42" xfId="0" applyNumberFormat="1" applyFont="1" applyFill="1" applyBorder="1"/>
    <xf numFmtId="0" fontId="4" fillId="0" borderId="11" xfId="0" applyFont="1" applyBorder="1"/>
    <xf numFmtId="164" fontId="1" fillId="11" borderId="42" xfId="0" applyNumberFormat="1" applyFont="1" applyFill="1" applyBorder="1"/>
    <xf numFmtId="0" fontId="4" fillId="0" borderId="12" xfId="0" applyFont="1" applyBorder="1"/>
    <xf numFmtId="0" fontId="4" fillId="0" borderId="13" xfId="0" applyFont="1" applyBorder="1"/>
    <xf numFmtId="0" fontId="25" fillId="0" borderId="0" xfId="0" applyFont="1" applyAlignment="1">
      <alignment vertical="top"/>
    </xf>
    <xf numFmtId="164" fontId="1" fillId="12" borderId="42" xfId="0" applyNumberFormat="1" applyFont="1" applyFill="1" applyBorder="1"/>
    <xf numFmtId="0" fontId="12" fillId="11" borderId="14" xfId="0" applyFont="1" applyFill="1" applyBorder="1"/>
    <xf numFmtId="0" fontId="12" fillId="11" borderId="14" xfId="0" applyFont="1" applyFill="1" applyBorder="1" applyAlignment="1">
      <alignment horizontal="center"/>
    </xf>
    <xf numFmtId="0" fontId="26" fillId="0" borderId="0" xfId="0" applyFont="1" applyAlignment="1">
      <alignment vertical="top"/>
    </xf>
    <xf numFmtId="0" fontId="9" fillId="0" borderId="14" xfId="0" applyFont="1" applyBorder="1" applyAlignment="1">
      <alignment horizontal="right"/>
    </xf>
    <xf numFmtId="0" fontId="8" fillId="4" borderId="48" xfId="0" applyFont="1" applyFill="1" applyBorder="1"/>
    <xf numFmtId="0" fontId="1" fillId="2" borderId="43" xfId="0" applyFont="1" applyFill="1" applyBorder="1"/>
    <xf numFmtId="0" fontId="4" fillId="0" borderId="14" xfId="0" applyFont="1" applyBorder="1" applyAlignment="1"/>
    <xf numFmtId="165" fontId="9" fillId="0" borderId="14" xfId="0" applyNumberFormat="1" applyFont="1" applyBorder="1" applyAlignment="1">
      <alignment horizontal="right"/>
    </xf>
    <xf numFmtId="0" fontId="1" fillId="9" borderId="48" xfId="0" applyFont="1" applyFill="1" applyBorder="1"/>
    <xf numFmtId="166" fontId="9" fillId="0" borderId="14" xfId="0" applyNumberFormat="1" applyFont="1" applyBorder="1" applyAlignment="1">
      <alignment horizontal="right"/>
    </xf>
    <xf numFmtId="2" fontId="2" fillId="0" borderId="5" xfId="0" applyNumberFormat="1" applyFont="1" applyBorder="1"/>
    <xf numFmtId="0" fontId="1" fillId="7" borderId="43" xfId="0" applyFont="1" applyFill="1" applyBorder="1"/>
    <xf numFmtId="3" fontId="12" fillId="9" borderId="14" xfId="0" applyNumberFormat="1" applyFont="1" applyFill="1" applyBorder="1"/>
    <xf numFmtId="0" fontId="12" fillId="11" borderId="14" xfId="0" applyFont="1" applyFill="1" applyBorder="1" applyAlignment="1"/>
    <xf numFmtId="3" fontId="12" fillId="12" borderId="14" xfId="0" applyNumberFormat="1" applyFont="1" applyFill="1" applyBorder="1"/>
    <xf numFmtId="0" fontId="1" fillId="0" borderId="16" xfId="0" applyFont="1" applyBorder="1"/>
    <xf numFmtId="167" fontId="9" fillId="0" borderId="14" xfId="0" applyNumberFormat="1" applyFont="1" applyBorder="1" applyAlignment="1">
      <alignment horizontal="right"/>
    </xf>
    <xf numFmtId="0" fontId="2" fillId="0" borderId="37" xfId="0" applyFont="1" applyBorder="1"/>
    <xf numFmtId="0" fontId="1" fillId="11" borderId="48" xfId="0" applyFont="1" applyFill="1" applyBorder="1"/>
    <xf numFmtId="0" fontId="18" fillId="0" borderId="4" xfId="0" applyFont="1" applyBorder="1" applyAlignment="1">
      <alignment horizontal="center"/>
    </xf>
    <xf numFmtId="3" fontId="9" fillId="0" borderId="14" xfId="0" applyNumberFormat="1" applyFont="1" applyBorder="1" applyAlignment="1">
      <alignment horizontal="right"/>
    </xf>
    <xf numFmtId="0" fontId="18" fillId="0" borderId="0" xfId="0" applyFont="1" applyAlignment="1">
      <alignment horizontal="center"/>
    </xf>
    <xf numFmtId="0" fontId="1" fillId="12" borderId="43" xfId="0" applyFont="1" applyFill="1" applyBorder="1"/>
    <xf numFmtId="0" fontId="9" fillId="0" borderId="0" xfId="0" applyFont="1" applyAlignment="1"/>
    <xf numFmtId="0" fontId="9" fillId="0" borderId="0" xfId="0" applyFont="1"/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" fillId="0" borderId="13" xfId="0" applyFont="1" applyBorder="1"/>
    <xf numFmtId="0" fontId="1" fillId="0" borderId="11" xfId="0" applyFont="1" applyBorder="1"/>
    <xf numFmtId="0" fontId="1" fillId="0" borderId="12" xfId="0" applyFont="1" applyBorder="1"/>
    <xf numFmtId="0" fontId="20" fillId="0" borderId="0" xfId="0" applyFont="1" applyAlignment="1"/>
    <xf numFmtId="0" fontId="28" fillId="0" borderId="0" xfId="0" applyFont="1" applyAlignment="1">
      <alignment vertical="top"/>
    </xf>
    <xf numFmtId="0" fontId="29" fillId="0" borderId="0" xfId="0" applyFont="1" applyAlignment="1"/>
    <xf numFmtId="0" fontId="25" fillId="0" borderId="0" xfId="0" applyFont="1" applyAlignment="1">
      <alignment horizontal="right"/>
    </xf>
    <xf numFmtId="0" fontId="30" fillId="0" borderId="0" xfId="0" applyFont="1" applyAlignment="1">
      <alignment vertical="top"/>
    </xf>
    <xf numFmtId="0" fontId="3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30" fillId="0" borderId="0" xfId="0" applyFont="1" applyAlignment="1">
      <alignment horizontal="right" vertical="top"/>
    </xf>
    <xf numFmtId="0" fontId="29" fillId="0" borderId="0" xfId="0" applyFont="1" applyAlignment="1">
      <alignment vertical="top"/>
    </xf>
    <xf numFmtId="0" fontId="29" fillId="0" borderId="0" xfId="0" applyFont="1" applyAlignment="1">
      <alignment horizontal="right" vertical="top"/>
    </xf>
    <xf numFmtId="3" fontId="29" fillId="0" borderId="0" xfId="0" applyNumberFormat="1" applyFont="1" applyAlignment="1">
      <alignment horizontal="right" vertical="top"/>
    </xf>
    <xf numFmtId="0" fontId="15" fillId="6" borderId="44" xfId="0" applyFont="1" applyFill="1" applyBorder="1" applyAlignment="1"/>
    <xf numFmtId="0" fontId="7" fillId="6" borderId="52" xfId="0" applyFont="1" applyFill="1" applyBorder="1" applyAlignment="1">
      <alignment horizontal="left"/>
    </xf>
    <xf numFmtId="0" fontId="7" fillId="6" borderId="53" xfId="0" applyFont="1" applyFill="1" applyBorder="1" applyAlignment="1">
      <alignment horizontal="left"/>
    </xf>
    <xf numFmtId="0" fontId="4" fillId="9" borderId="24" xfId="0" applyFont="1" applyFill="1" applyBorder="1" applyAlignment="1"/>
    <xf numFmtId="164" fontId="4" fillId="9" borderId="25" xfId="0" applyNumberFormat="1" applyFont="1" applyFill="1" applyBorder="1"/>
    <xf numFmtId="0" fontId="4" fillId="2" borderId="24" xfId="0" applyFont="1" applyFill="1" applyBorder="1" applyAlignment="1"/>
    <xf numFmtId="0" fontId="24" fillId="6" borderId="19" xfId="0" applyFont="1" applyFill="1" applyBorder="1" applyAlignment="1"/>
    <xf numFmtId="164" fontId="4" fillId="9" borderId="26" xfId="0" applyNumberFormat="1" applyFont="1" applyFill="1" applyBorder="1"/>
    <xf numFmtId="0" fontId="31" fillId="0" borderId="0" xfId="0" applyFont="1"/>
    <xf numFmtId="164" fontId="4" fillId="2" borderId="25" xfId="0" applyNumberFormat="1" applyFont="1" applyFill="1" applyBorder="1"/>
    <xf numFmtId="0" fontId="4" fillId="7" borderId="24" xfId="0" applyFont="1" applyFill="1" applyBorder="1" applyAlignment="1"/>
    <xf numFmtId="164" fontId="4" fillId="7" borderId="25" xfId="0" applyNumberFormat="1" applyFont="1" applyFill="1" applyBorder="1"/>
    <xf numFmtId="164" fontId="4" fillId="2" borderId="26" xfId="0" applyNumberFormat="1" applyFont="1" applyFill="1" applyBorder="1"/>
    <xf numFmtId="0" fontId="32" fillId="0" borderId="0" xfId="0" applyFont="1"/>
    <xf numFmtId="164" fontId="4" fillId="7" borderId="26" xfId="0" applyNumberFormat="1" applyFont="1" applyFill="1" applyBorder="1"/>
    <xf numFmtId="0" fontId="33" fillId="0" borderId="0" xfId="0" applyFont="1"/>
    <xf numFmtId="164" fontId="22" fillId="6" borderId="27" xfId="0" applyNumberFormat="1" applyFont="1" applyFill="1" applyBorder="1" applyAlignment="1">
      <alignment horizontal="left"/>
    </xf>
    <xf numFmtId="0" fontId="34" fillId="6" borderId="21" xfId="0" applyFont="1" applyFill="1" applyBorder="1" applyAlignment="1">
      <alignment horizontal="left"/>
    </xf>
    <xf numFmtId="1" fontId="23" fillId="6" borderId="54" xfId="0" applyNumberFormat="1" applyFont="1" applyFill="1" applyBorder="1" applyAlignment="1">
      <alignment horizontal="left"/>
    </xf>
    <xf numFmtId="0" fontId="34" fillId="6" borderId="23" xfId="0" applyFont="1" applyFill="1" applyBorder="1" applyAlignment="1">
      <alignment horizontal="left"/>
    </xf>
    <xf numFmtId="164" fontId="35" fillId="2" borderId="31" xfId="0" applyNumberFormat="1" applyFont="1" applyFill="1" applyBorder="1"/>
    <xf numFmtId="164" fontId="36" fillId="9" borderId="28" xfId="0" applyNumberFormat="1" applyFont="1" applyFill="1" applyBorder="1"/>
    <xf numFmtId="3" fontId="6" fillId="2" borderId="14" xfId="0" applyNumberFormat="1" applyFont="1" applyFill="1" applyBorder="1"/>
    <xf numFmtId="3" fontId="9" fillId="9" borderId="42" xfId="0" applyNumberFormat="1" applyFont="1" applyFill="1" applyBorder="1"/>
    <xf numFmtId="3" fontId="6" fillId="2" borderId="41" xfId="0" applyNumberFormat="1" applyFont="1" applyFill="1" applyBorder="1"/>
    <xf numFmtId="3" fontId="9" fillId="9" borderId="55" xfId="0" applyNumberFormat="1" applyFont="1" applyFill="1" applyBorder="1"/>
    <xf numFmtId="164" fontId="36" fillId="9" borderId="31" xfId="0" applyNumberFormat="1" applyFont="1" applyFill="1" applyBorder="1"/>
    <xf numFmtId="3" fontId="9" fillId="9" borderId="14" xfId="0" applyNumberFormat="1" applyFont="1" applyFill="1" applyBorder="1"/>
    <xf numFmtId="164" fontId="35" fillId="2" borderId="24" xfId="0" applyNumberFormat="1" applyFont="1" applyFill="1" applyBorder="1"/>
    <xf numFmtId="0" fontId="6" fillId="0" borderId="0" xfId="0" applyFont="1" applyAlignment="1">
      <alignment horizontal="left"/>
    </xf>
    <xf numFmtId="3" fontId="9" fillId="9" borderId="41" xfId="0" applyNumberFormat="1" applyFont="1" applyFill="1" applyBorder="1"/>
    <xf numFmtId="3" fontId="6" fillId="2" borderId="25" xfId="0" applyNumberFormat="1" applyFont="1" applyFill="1" applyBorder="1"/>
    <xf numFmtId="164" fontId="36" fillId="9" borderId="24" xfId="0" applyNumberFormat="1" applyFont="1" applyFill="1" applyBorder="1"/>
    <xf numFmtId="3" fontId="6" fillId="0" borderId="0" xfId="0" applyNumberFormat="1" applyFont="1"/>
    <xf numFmtId="3" fontId="9" fillId="9" borderId="25" xfId="0" applyNumberFormat="1" applyFont="1" applyFill="1" applyBorder="1"/>
    <xf numFmtId="3" fontId="6" fillId="2" borderId="26" xfId="0" applyNumberFormat="1" applyFont="1" applyFill="1" applyBorder="1"/>
    <xf numFmtId="0" fontId="37" fillId="6" borderId="19" xfId="0" applyFont="1" applyFill="1" applyBorder="1"/>
    <xf numFmtId="3" fontId="7" fillId="2" borderId="35" xfId="0" applyNumberFormat="1" applyFont="1" applyFill="1" applyBorder="1"/>
    <xf numFmtId="3" fontId="6" fillId="2" borderId="30" xfId="0" applyNumberFormat="1" applyFont="1" applyFill="1" applyBorder="1"/>
    <xf numFmtId="3" fontId="6" fillId="2" borderId="36" xfId="0" applyNumberFormat="1" applyFont="1" applyFill="1" applyBorder="1"/>
    <xf numFmtId="3" fontId="7" fillId="6" borderId="19" xfId="0" applyNumberFormat="1" applyFont="1" applyFill="1" applyBorder="1"/>
    <xf numFmtId="3" fontId="6" fillId="2" borderId="31" xfId="0" applyNumberFormat="1" applyFont="1" applyFill="1" applyBorder="1" applyAlignment="1">
      <alignment horizontal="left"/>
    </xf>
    <xf numFmtId="3" fontId="6" fillId="2" borderId="35" xfId="0" applyNumberFormat="1" applyFont="1" applyFill="1" applyBorder="1" applyAlignment="1">
      <alignment horizontal="left"/>
    </xf>
    <xf numFmtId="3" fontId="6" fillId="2" borderId="24" xfId="0" applyNumberFormat="1" applyFont="1" applyFill="1" applyBorder="1" applyAlignment="1">
      <alignment horizontal="left"/>
    </xf>
    <xf numFmtId="3" fontId="7" fillId="0" borderId="0" xfId="0" applyNumberFormat="1" applyFont="1"/>
    <xf numFmtId="164" fontId="6" fillId="0" borderId="0" xfId="0" applyNumberFormat="1" applyFont="1"/>
    <xf numFmtId="3" fontId="9" fillId="9" borderId="26" xfId="0" applyNumberFormat="1" applyFont="1" applyFill="1" applyBorder="1"/>
    <xf numFmtId="169" fontId="7" fillId="0" borderId="0" xfId="0" applyNumberFormat="1" applyFont="1"/>
    <xf numFmtId="164" fontId="35" fillId="7" borderId="31" xfId="0" applyNumberFormat="1" applyFont="1" applyFill="1" applyBorder="1"/>
    <xf numFmtId="3" fontId="7" fillId="9" borderId="35" xfId="0" applyNumberFormat="1" applyFont="1" applyFill="1" applyBorder="1"/>
    <xf numFmtId="3" fontId="6" fillId="7" borderId="14" xfId="0" applyNumberFormat="1" applyFont="1" applyFill="1" applyBorder="1"/>
    <xf numFmtId="3" fontId="6" fillId="9" borderId="30" xfId="0" applyNumberFormat="1" applyFont="1" applyFill="1" applyBorder="1"/>
    <xf numFmtId="3" fontId="6" fillId="7" borderId="41" xfId="0" applyNumberFormat="1" applyFont="1" applyFill="1" applyBorder="1"/>
    <xf numFmtId="3" fontId="6" fillId="9" borderId="36" xfId="0" applyNumberFormat="1" applyFont="1" applyFill="1" applyBorder="1"/>
    <xf numFmtId="164" fontId="4" fillId="11" borderId="24" xfId="0" applyNumberFormat="1" applyFont="1" applyFill="1" applyBorder="1" applyAlignment="1"/>
    <xf numFmtId="3" fontId="6" fillId="9" borderId="31" xfId="0" applyNumberFormat="1" applyFont="1" applyFill="1" applyBorder="1" applyAlignment="1">
      <alignment horizontal="left"/>
    </xf>
    <xf numFmtId="164" fontId="4" fillId="11" borderId="25" xfId="0" applyNumberFormat="1" applyFont="1" applyFill="1" applyBorder="1"/>
    <xf numFmtId="164" fontId="35" fillId="7" borderId="24" xfId="0" applyNumberFormat="1" applyFont="1" applyFill="1" applyBorder="1"/>
    <xf numFmtId="3" fontId="6" fillId="9" borderId="14" xfId="0" applyNumberFormat="1" applyFont="1" applyFill="1" applyBorder="1"/>
    <xf numFmtId="164" fontId="4" fillId="11" borderId="26" xfId="0" applyNumberFormat="1" applyFont="1" applyFill="1" applyBorder="1"/>
    <xf numFmtId="3" fontId="6" fillId="7" borderId="25" xfId="0" applyNumberFormat="1" applyFont="1" applyFill="1" applyBorder="1"/>
    <xf numFmtId="3" fontId="6" fillId="9" borderId="41" xfId="0" applyNumberFormat="1" applyFont="1" applyFill="1" applyBorder="1"/>
    <xf numFmtId="0" fontId="11" fillId="0" borderId="0" xfId="0" applyFont="1"/>
    <xf numFmtId="3" fontId="6" fillId="7" borderId="26" xfId="0" applyNumberFormat="1" applyFont="1" applyFill="1" applyBorder="1"/>
    <xf numFmtId="3" fontId="7" fillId="7" borderId="35" xfId="0" applyNumberFormat="1" applyFont="1" applyFill="1" applyBorder="1"/>
    <xf numFmtId="3" fontId="6" fillId="7" borderId="30" xfId="0" applyNumberFormat="1" applyFont="1" applyFill="1" applyBorder="1"/>
    <xf numFmtId="3" fontId="6" fillId="9" borderId="35" xfId="0" applyNumberFormat="1" applyFont="1" applyFill="1" applyBorder="1" applyAlignment="1">
      <alignment horizontal="left"/>
    </xf>
    <xf numFmtId="3" fontId="6" fillId="7" borderId="36" xfId="0" applyNumberFormat="1" applyFont="1" applyFill="1" applyBorder="1"/>
    <xf numFmtId="3" fontId="6" fillId="7" borderId="31" xfId="0" applyNumberFormat="1" applyFont="1" applyFill="1" applyBorder="1" applyAlignment="1">
      <alignment horizontal="left"/>
    </xf>
    <xf numFmtId="0" fontId="19" fillId="6" borderId="44" xfId="0" applyFont="1" applyFill="1" applyBorder="1" applyAlignment="1"/>
    <xf numFmtId="0" fontId="23" fillId="6" borderId="21" xfId="0" applyFont="1" applyFill="1" applyBorder="1" applyAlignment="1">
      <alignment horizontal="left"/>
    </xf>
    <xf numFmtId="0" fontId="4" fillId="11" borderId="24" xfId="0" applyFont="1" applyFill="1" applyBorder="1" applyAlignment="1"/>
    <xf numFmtId="3" fontId="6" fillId="7" borderId="35" xfId="0" applyNumberFormat="1" applyFont="1" applyFill="1" applyBorder="1" applyAlignment="1">
      <alignment horizontal="left"/>
    </xf>
    <xf numFmtId="164" fontId="22" fillId="6" borderId="27" xfId="0" applyNumberFormat="1" applyFont="1" applyFill="1" applyBorder="1" applyAlignment="1">
      <alignment horizontal="center"/>
    </xf>
    <xf numFmtId="164" fontId="35" fillId="11" borderId="31" xfId="0" applyNumberFormat="1" applyFont="1" applyFill="1" applyBorder="1"/>
    <xf numFmtId="3" fontId="6" fillId="9" borderId="24" xfId="0" applyNumberFormat="1" applyFont="1" applyFill="1" applyBorder="1" applyAlignment="1">
      <alignment horizontal="left"/>
    </xf>
    <xf numFmtId="3" fontId="6" fillId="11" borderId="14" xfId="0" applyNumberFormat="1" applyFont="1" applyFill="1" applyBorder="1"/>
    <xf numFmtId="3" fontId="6" fillId="9" borderId="25" xfId="0" applyNumberFormat="1" applyFont="1" applyFill="1" applyBorder="1"/>
    <xf numFmtId="3" fontId="6" fillId="11" borderId="41" xfId="0" applyNumberFormat="1" applyFont="1" applyFill="1" applyBorder="1"/>
    <xf numFmtId="3" fontId="6" fillId="9" borderId="26" xfId="0" applyNumberFormat="1" applyFont="1" applyFill="1" applyBorder="1"/>
    <xf numFmtId="0" fontId="9" fillId="0" borderId="0" xfId="0" applyFont="1"/>
    <xf numFmtId="164" fontId="35" fillId="11" borderId="24" xfId="0" applyNumberFormat="1" applyFont="1" applyFill="1" applyBorder="1"/>
    <xf numFmtId="3" fontId="6" fillId="11" borderId="25" xfId="0" applyNumberFormat="1" applyFont="1" applyFill="1" applyBorder="1"/>
    <xf numFmtId="3" fontId="6" fillId="7" borderId="24" xfId="0" applyNumberFormat="1" applyFont="1" applyFill="1" applyBorder="1" applyAlignment="1">
      <alignment horizontal="left"/>
    </xf>
    <xf numFmtId="3" fontId="6" fillId="11" borderId="26" xfId="0" applyNumberFormat="1" applyFont="1" applyFill="1" applyBorder="1"/>
    <xf numFmtId="164" fontId="10" fillId="0" borderId="0" xfId="0" applyNumberFormat="1" applyFont="1" applyAlignment="1">
      <alignment horizontal="center"/>
    </xf>
    <xf numFmtId="3" fontId="7" fillId="11" borderId="35" xfId="0" applyNumberFormat="1" applyFont="1" applyFill="1" applyBorder="1"/>
    <xf numFmtId="3" fontId="6" fillId="11" borderId="30" xfId="0" applyNumberFormat="1" applyFont="1" applyFill="1" applyBorder="1"/>
    <xf numFmtId="3" fontId="6" fillId="11" borderId="36" xfId="0" applyNumberFormat="1" applyFont="1" applyFill="1" applyBorder="1"/>
    <xf numFmtId="3" fontId="6" fillId="11" borderId="31" xfId="0" applyNumberFormat="1" applyFont="1" applyFill="1" applyBorder="1" applyAlignment="1">
      <alignment horizontal="left"/>
    </xf>
    <xf numFmtId="0" fontId="4" fillId="12" borderId="24" xfId="0" applyFont="1" applyFill="1" applyBorder="1" applyAlignment="1"/>
    <xf numFmtId="3" fontId="6" fillId="11" borderId="35" xfId="0" applyNumberFormat="1" applyFont="1" applyFill="1" applyBorder="1" applyAlignment="1">
      <alignment horizontal="left"/>
    </xf>
    <xf numFmtId="164" fontId="4" fillId="12" borderId="25" xfId="0" applyNumberFormat="1" applyFont="1" applyFill="1" applyBorder="1"/>
    <xf numFmtId="164" fontId="4" fillId="12" borderId="26" xfId="0" applyNumberFormat="1" applyFont="1" applyFill="1" applyBorder="1"/>
    <xf numFmtId="164" fontId="37" fillId="6" borderId="27" xfId="0" applyNumberFormat="1" applyFont="1" applyFill="1" applyBorder="1" applyAlignment="1">
      <alignment horizontal="left"/>
    </xf>
    <xf numFmtId="164" fontId="35" fillId="12" borderId="28" xfId="0" applyNumberFormat="1" applyFont="1" applyFill="1" applyBorder="1"/>
    <xf numFmtId="3" fontId="6" fillId="11" borderId="24" xfId="0" applyNumberFormat="1" applyFont="1" applyFill="1" applyBorder="1" applyAlignment="1">
      <alignment horizontal="left"/>
    </xf>
    <xf numFmtId="3" fontId="6" fillId="12" borderId="42" xfId="0" applyNumberFormat="1" applyFont="1" applyFill="1" applyBorder="1"/>
    <xf numFmtId="3" fontId="6" fillId="12" borderId="55" xfId="0" applyNumberFormat="1" applyFont="1" applyFill="1" applyBorder="1"/>
    <xf numFmtId="164" fontId="35" fillId="12" borderId="31" xfId="0" applyNumberFormat="1" applyFont="1" applyFill="1" applyBorder="1"/>
    <xf numFmtId="3" fontId="6" fillId="12" borderId="14" xfId="0" applyNumberFormat="1" applyFont="1" applyFill="1" applyBorder="1"/>
    <xf numFmtId="3" fontId="6" fillId="12" borderId="41" xfId="0" applyNumberFormat="1" applyFont="1" applyFill="1" applyBorder="1"/>
    <xf numFmtId="164" fontId="35" fillId="12" borderId="24" xfId="0" applyNumberFormat="1" applyFont="1" applyFill="1" applyBorder="1"/>
    <xf numFmtId="3" fontId="6" fillId="12" borderId="25" xfId="0" applyNumberFormat="1" applyFont="1" applyFill="1" applyBorder="1"/>
    <xf numFmtId="3" fontId="6" fillId="12" borderId="26" xfId="0" applyNumberFormat="1" applyFont="1" applyFill="1" applyBorder="1"/>
    <xf numFmtId="3" fontId="7" fillId="12" borderId="35" xfId="0" applyNumberFormat="1" applyFont="1" applyFill="1" applyBorder="1"/>
    <xf numFmtId="3" fontId="6" fillId="12" borderId="30" xfId="0" applyNumberFormat="1" applyFont="1" applyFill="1" applyBorder="1"/>
    <xf numFmtId="3" fontId="6" fillId="12" borderId="36" xfId="0" applyNumberFormat="1" applyFont="1" applyFill="1" applyBorder="1"/>
    <xf numFmtId="3" fontId="6" fillId="12" borderId="31" xfId="0" applyNumberFormat="1" applyFont="1" applyFill="1" applyBorder="1" applyAlignment="1">
      <alignment horizontal="left"/>
    </xf>
    <xf numFmtId="3" fontId="6" fillId="12" borderId="35" xfId="0" applyNumberFormat="1" applyFont="1" applyFill="1" applyBorder="1" applyAlignment="1">
      <alignment horizontal="left"/>
    </xf>
    <xf numFmtId="0" fontId="0" fillId="0" borderId="0" xfId="0" applyFont="1" applyAlignment="1"/>
    <xf numFmtId="0" fontId="35" fillId="0" borderId="0" xfId="0" applyFont="1" applyAlignment="1"/>
    <xf numFmtId="3" fontId="0" fillId="0" borderId="0" xfId="0" applyNumberFormat="1" applyFont="1" applyAlignment="1"/>
    <xf numFmtId="164" fontId="0" fillId="0" borderId="0" xfId="0" applyNumberFormat="1" applyFont="1" applyAlignment="1"/>
    <xf numFmtId="0" fontId="9" fillId="0" borderId="61" xfId="0" applyFont="1" applyBorder="1" applyAlignment="1"/>
    <xf numFmtId="0" fontId="9" fillId="0" borderId="62" xfId="0" applyFont="1" applyBorder="1" applyAlignment="1">
      <alignment horizontal="right"/>
    </xf>
    <xf numFmtId="165" fontId="9" fillId="0" borderId="62" xfId="0" applyNumberFormat="1" applyFont="1" applyBorder="1" applyAlignment="1">
      <alignment horizontal="center"/>
    </xf>
    <xf numFmtId="0" fontId="4" fillId="0" borderId="61" xfId="0" applyFont="1" applyBorder="1" applyAlignment="1"/>
    <xf numFmtId="0" fontId="4" fillId="0" borderId="62" xfId="0" applyFont="1" applyBorder="1" applyAlignment="1"/>
    <xf numFmtId="165" fontId="9" fillId="0" borderId="62" xfId="0" applyNumberFormat="1" applyFont="1" applyBorder="1" applyAlignment="1">
      <alignment horizontal="right"/>
    </xf>
    <xf numFmtId="166" fontId="9" fillId="0" borderId="62" xfId="0" applyNumberFormat="1" applyFont="1" applyBorder="1" applyAlignment="1">
      <alignment horizontal="right"/>
    </xf>
    <xf numFmtId="0" fontId="9" fillId="0" borderId="63" xfId="0" applyFont="1" applyBorder="1" applyAlignment="1"/>
    <xf numFmtId="168" fontId="9" fillId="0" borderId="64" xfId="0" applyNumberFormat="1" applyFont="1" applyBorder="1" applyAlignment="1">
      <alignment horizontal="right"/>
    </xf>
    <xf numFmtId="168" fontId="9" fillId="0" borderId="65" xfId="0" applyNumberFormat="1" applyFont="1" applyBorder="1" applyAlignment="1">
      <alignment horizontal="right"/>
    </xf>
    <xf numFmtId="0" fontId="6" fillId="0" borderId="22" xfId="0" applyFont="1" applyBorder="1"/>
    <xf numFmtId="0" fontId="0" fillId="0" borderId="56" xfId="0" applyFont="1" applyBorder="1" applyAlignment="1"/>
    <xf numFmtId="0" fontId="0" fillId="0" borderId="57" xfId="0" applyFont="1" applyBorder="1" applyAlignment="1"/>
    <xf numFmtId="0" fontId="6" fillId="0" borderId="57" xfId="0" applyFont="1" applyBorder="1"/>
    <xf numFmtId="0" fontId="6" fillId="0" borderId="58" xfId="0" applyFont="1" applyBorder="1"/>
    <xf numFmtId="0" fontId="0" fillId="0" borderId="59" xfId="0" applyFont="1" applyBorder="1" applyAlignment="1"/>
    <xf numFmtId="0" fontId="7" fillId="0" borderId="60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6" fillId="0" borderId="71" xfId="0" applyFont="1" applyBorder="1"/>
    <xf numFmtId="0" fontId="0" fillId="0" borderId="72" xfId="0" applyFont="1" applyBorder="1" applyAlignment="1"/>
    <xf numFmtId="0" fontId="0" fillId="0" borderId="73" xfId="0" applyFont="1" applyBorder="1" applyAlignment="1"/>
    <xf numFmtId="0" fontId="7" fillId="0" borderId="73" xfId="0" applyFont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43" fillId="4" borderId="51" xfId="0" applyFont="1" applyFill="1" applyBorder="1"/>
    <xf numFmtId="0" fontId="43" fillId="4" borderId="14" xfId="0" applyFont="1" applyFill="1" applyBorder="1"/>
    <xf numFmtId="0" fontId="12" fillId="11" borderId="30" xfId="0" applyFont="1" applyFill="1" applyBorder="1" applyAlignment="1">
      <alignment horizontal="center"/>
    </xf>
    <xf numFmtId="0" fontId="3" fillId="0" borderId="37" xfId="0" applyFont="1" applyBorder="1"/>
    <xf numFmtId="0" fontId="3" fillId="0" borderId="42" xfId="0" applyFont="1" applyBorder="1"/>
    <xf numFmtId="0" fontId="1" fillId="11" borderId="1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11" xfId="0" applyFont="1" applyBorder="1"/>
    <xf numFmtId="0" fontId="3" fillId="0" borderId="13" xfId="0" applyFont="1" applyBorder="1"/>
    <xf numFmtId="0" fontId="18" fillId="11" borderId="1" xfId="0" applyFont="1" applyFill="1" applyBorder="1" applyAlignment="1">
      <alignment horizontal="center"/>
    </xf>
    <xf numFmtId="0" fontId="42" fillId="0" borderId="2" xfId="0" applyFont="1" applyBorder="1"/>
    <xf numFmtId="0" fontId="42" fillId="0" borderId="3" xfId="0" applyFont="1" applyBorder="1"/>
    <xf numFmtId="0" fontId="42" fillId="0" borderId="11" xfId="0" applyFont="1" applyBorder="1"/>
    <xf numFmtId="0" fontId="42" fillId="0" borderId="12" xfId="0" applyFont="1" applyBorder="1"/>
    <xf numFmtId="0" fontId="42" fillId="0" borderId="13" xfId="0" applyFont="1" applyBorder="1"/>
    <xf numFmtId="0" fontId="12" fillId="11" borderId="16" xfId="0" applyFont="1" applyFill="1" applyBorder="1" applyAlignment="1">
      <alignment horizontal="center"/>
    </xf>
    <xf numFmtId="0" fontId="3" fillId="0" borderId="22" xfId="0" applyFont="1" applyBorder="1"/>
    <xf numFmtId="0" fontId="12" fillId="11" borderId="16" xfId="0" applyFont="1" applyFill="1" applyBorder="1"/>
    <xf numFmtId="0" fontId="1" fillId="11" borderId="16" xfId="0" applyFont="1" applyFill="1" applyBorder="1"/>
    <xf numFmtId="0" fontId="23" fillId="0" borderId="16" xfId="0" applyFont="1" applyBorder="1" applyAlignment="1"/>
    <xf numFmtId="0" fontId="16" fillId="0" borderId="16" xfId="0" applyFont="1" applyBorder="1" applyAlignment="1">
      <alignment horizontal="left"/>
    </xf>
    <xf numFmtId="0" fontId="18" fillId="0" borderId="16" xfId="0" applyFont="1" applyBorder="1" applyAlignment="1"/>
    <xf numFmtId="2" fontId="1" fillId="12" borderId="30" xfId="0" applyNumberFormat="1" applyFont="1" applyFill="1" applyBorder="1" applyAlignment="1">
      <alignment horizontal="center"/>
    </xf>
    <xf numFmtId="0" fontId="2" fillId="0" borderId="16" xfId="0" applyFont="1" applyBorder="1"/>
    <xf numFmtId="2" fontId="2" fillId="12" borderId="1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0" xfId="0" applyFont="1" applyAlignment="1"/>
    <xf numFmtId="2" fontId="1" fillId="2" borderId="30" xfId="0" applyNumberFormat="1" applyFont="1" applyFill="1" applyBorder="1" applyAlignment="1">
      <alignment horizontal="center"/>
    </xf>
    <xf numFmtId="2" fontId="18" fillId="7" borderId="1" xfId="0" applyNumberFormat="1" applyFont="1" applyFill="1" applyBorder="1" applyAlignment="1">
      <alignment horizontal="center"/>
    </xf>
    <xf numFmtId="2" fontId="1" fillId="7" borderId="30" xfId="0" applyNumberFormat="1" applyFont="1" applyFill="1" applyBorder="1" applyAlignment="1">
      <alignment horizontal="center"/>
    </xf>
    <xf numFmtId="0" fontId="24" fillId="0" borderId="4" xfId="0" applyFont="1" applyBorder="1" applyAlignment="1"/>
    <xf numFmtId="0" fontId="2" fillId="0" borderId="1" xfId="0" applyFont="1" applyBorder="1" applyAlignment="1">
      <alignment horizontal="center"/>
    </xf>
    <xf numFmtId="0" fontId="3" fillId="0" borderId="2" xfId="0" applyFont="1" applyBorder="1"/>
    <xf numFmtId="0" fontId="2" fillId="2" borderId="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/>
    <xf numFmtId="0" fontId="4" fillId="0" borderId="56" xfId="0" applyFont="1" applyBorder="1" applyAlignment="1">
      <alignment horizontal="center"/>
    </xf>
    <xf numFmtId="0" fontId="3" fillId="0" borderId="57" xfId="0" applyFont="1" applyBorder="1"/>
    <xf numFmtId="0" fontId="3" fillId="0" borderId="58" xfId="0" applyFont="1" applyBorder="1"/>
    <xf numFmtId="0" fontId="3" fillId="0" borderId="59" xfId="0" applyFont="1" applyBorder="1"/>
    <xf numFmtId="0" fontId="0" fillId="0" borderId="17" xfId="0" applyFont="1" applyBorder="1" applyAlignment="1"/>
    <xf numFmtId="0" fontId="3" fillId="0" borderId="60" xfId="0" applyFont="1" applyBorder="1"/>
    <xf numFmtId="3" fontId="16" fillId="9" borderId="16" xfId="0" applyNumberFormat="1" applyFont="1" applyFill="1" applyBorder="1" applyAlignment="1">
      <alignment horizontal="center"/>
    </xf>
    <xf numFmtId="0" fontId="3" fillId="0" borderId="20" xfId="0" applyFont="1" applyBorder="1"/>
    <xf numFmtId="3" fontId="16" fillId="12" borderId="16" xfId="0" applyNumberFormat="1" applyFont="1" applyFill="1" applyBorder="1" applyAlignment="1">
      <alignment horizontal="center"/>
    </xf>
    <xf numFmtId="3" fontId="27" fillId="9" borderId="16" xfId="0" applyNumberFormat="1" applyFont="1" applyFill="1" applyBorder="1" applyAlignment="1">
      <alignment horizontal="center" vertical="center"/>
    </xf>
    <xf numFmtId="3" fontId="2" fillId="12" borderId="16" xfId="0" applyNumberFormat="1" applyFont="1" applyFill="1" applyBorder="1" applyAlignment="1">
      <alignment horizontal="center"/>
    </xf>
    <xf numFmtId="3" fontId="18" fillId="12" borderId="16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3" fontId="18" fillId="9" borderId="16" xfId="0" applyNumberFormat="1" applyFont="1" applyFill="1" applyBorder="1" applyAlignment="1">
      <alignment horizontal="center" vertical="center"/>
    </xf>
    <xf numFmtId="3" fontId="21" fillId="9" borderId="16" xfId="0" applyNumberFormat="1" applyFont="1" applyFill="1" applyBorder="1" applyAlignment="1">
      <alignment horizontal="center" vertical="center"/>
    </xf>
    <xf numFmtId="3" fontId="21" fillId="12" borderId="16" xfId="0" applyNumberFormat="1" applyFont="1" applyFill="1" applyBorder="1" applyAlignment="1">
      <alignment horizontal="center" vertical="center"/>
    </xf>
    <xf numFmtId="3" fontId="2" fillId="2" borderId="16" xfId="0" applyNumberFormat="1" applyFont="1" applyFill="1" applyBorder="1" applyAlignment="1">
      <alignment horizontal="center"/>
    </xf>
    <xf numFmtId="3" fontId="2" fillId="11" borderId="16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3" fontId="21" fillId="7" borderId="16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3" fontId="18" fillId="7" borderId="16" xfId="0" applyNumberFormat="1" applyFont="1" applyFill="1" applyBorder="1" applyAlignment="1">
      <alignment horizontal="center"/>
    </xf>
    <xf numFmtId="3" fontId="2" fillId="4" borderId="16" xfId="0" applyNumberFormat="1" applyFont="1" applyFill="1" applyBorder="1" applyAlignment="1">
      <alignment horizontal="center"/>
    </xf>
    <xf numFmtId="3" fontId="18" fillId="2" borderId="16" xfId="0" applyNumberFormat="1" applyFont="1" applyFill="1" applyBorder="1" applyAlignment="1">
      <alignment horizontal="center" vertical="center"/>
    </xf>
    <xf numFmtId="3" fontId="18" fillId="11" borderId="16" xfId="0" applyNumberFormat="1" applyFont="1" applyFill="1" applyBorder="1" applyAlignment="1">
      <alignment horizontal="center" vertical="center"/>
    </xf>
    <xf numFmtId="3" fontId="21" fillId="11" borderId="16" xfId="0" applyNumberFormat="1" applyFont="1" applyFill="1" applyBorder="1" applyAlignment="1">
      <alignment horizontal="center" vertical="center"/>
    </xf>
    <xf numFmtId="3" fontId="21" fillId="2" borderId="16" xfId="0" applyNumberFormat="1" applyFont="1" applyFill="1" applyBorder="1" applyAlignment="1">
      <alignment horizontal="center" vertical="center"/>
    </xf>
    <xf numFmtId="3" fontId="14" fillId="4" borderId="16" xfId="0" applyNumberFormat="1" applyFont="1" applyFill="1" applyBorder="1" applyAlignment="1">
      <alignment horizontal="center"/>
    </xf>
    <xf numFmtId="3" fontId="16" fillId="7" borderId="16" xfId="0" applyNumberFormat="1" applyFont="1" applyFill="1" applyBorder="1" applyAlignment="1">
      <alignment horizontal="center"/>
    </xf>
    <xf numFmtId="3" fontId="18" fillId="7" borderId="16" xfId="0" applyNumberFormat="1" applyFont="1" applyFill="1" applyBorder="1" applyAlignment="1">
      <alignment horizontal="center" vertical="center"/>
    </xf>
    <xf numFmtId="3" fontId="16" fillId="2" borderId="16" xfId="0" applyNumberFormat="1" applyFont="1" applyFill="1" applyBorder="1" applyAlignment="1">
      <alignment horizontal="center"/>
    </xf>
    <xf numFmtId="3" fontId="16" fillId="11" borderId="16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3" fillId="0" borderId="29" xfId="0" applyFont="1" applyBorder="1"/>
    <xf numFmtId="0" fontId="3" fillId="0" borderId="32" xfId="0" applyFont="1" applyBorder="1"/>
    <xf numFmtId="0" fontId="3" fillId="0" borderId="33" xfId="0" applyFont="1" applyBorder="1"/>
    <xf numFmtId="0" fontId="3" fillId="0" borderId="34" xfId="0" applyFont="1" applyBorder="1"/>
    <xf numFmtId="3" fontId="7" fillId="6" borderId="38" xfId="0" applyNumberFormat="1" applyFont="1" applyFill="1" applyBorder="1" applyAlignment="1">
      <alignment horizontal="center"/>
    </xf>
    <xf numFmtId="0" fontId="3" fillId="0" borderId="39" xfId="0" applyFont="1" applyBorder="1"/>
    <xf numFmtId="0" fontId="3" fillId="0" borderId="40" xfId="0" applyFont="1" applyBorder="1"/>
    <xf numFmtId="3" fontId="23" fillId="5" borderId="44" xfId="0" applyNumberFormat="1" applyFont="1" applyFill="1" applyBorder="1" applyAlignment="1"/>
    <xf numFmtId="0" fontId="3" fillId="0" borderId="45" xfId="0" applyFont="1" applyBorder="1"/>
    <xf numFmtId="0" fontId="3" fillId="0" borderId="4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647700</xdr:colOff>
      <xdr:row>3</xdr:row>
      <xdr:rowOff>47625</xdr:rowOff>
    </xdr:from>
    <xdr:ext cx="38100" cy="1714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345968" y="3693951"/>
          <a:ext cx="65" cy="172098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13</xdr:col>
      <xdr:colOff>666750</xdr:colOff>
      <xdr:row>49</xdr:row>
      <xdr:rowOff>0</xdr:rowOff>
    </xdr:from>
    <xdr:ext cx="14135100" cy="8858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-169525" y="2628462"/>
          <a:ext cx="10692000" cy="88320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000">
            <a:solidFill>
              <a:srgbClr val="76A5AF"/>
            </a:solidFill>
            <a:latin typeface="Cambria Math"/>
            <a:ea typeface="Cambria Math"/>
            <a:cs typeface="Cambria Math"/>
            <a:sym typeface="Cambria Math"/>
          </a:endParaRPr>
        </a:p>
      </xdr:txBody>
    </xdr:sp>
    <xdr:clientData fLocksWithSheet="0"/>
  </xdr:oneCellAnchor>
  <xdr:oneCellAnchor>
    <xdr:from>
      <xdr:col>13</xdr:col>
      <xdr:colOff>638175</xdr:colOff>
      <xdr:row>54</xdr:row>
      <xdr:rowOff>152400</xdr:rowOff>
    </xdr:from>
    <xdr:ext cx="14135100" cy="885825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0" y="3338437"/>
          <a:ext cx="10692000" cy="883127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000">
            <a:latin typeface="Cambria Math"/>
            <a:ea typeface="Cambria Math"/>
            <a:cs typeface="Cambria Math"/>
            <a:sym typeface="Cambria Math"/>
          </a:endParaRPr>
        </a:p>
      </xdr:txBody>
    </xdr:sp>
    <xdr:clientData fLocksWithSheet="0"/>
  </xdr:oneCellAnchor>
  <xdr:oneCellAnchor>
    <xdr:from>
      <xdr:col>13</xdr:col>
      <xdr:colOff>542925</xdr:colOff>
      <xdr:row>60</xdr:row>
      <xdr:rowOff>152400</xdr:rowOff>
    </xdr:from>
    <xdr:ext cx="14135100" cy="885825"/>
    <xdr:sp macro="" textlink="">
      <xdr:nvSpPr>
        <xdr:cNvPr id="2" name="Shap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-169525" y="2628462"/>
          <a:ext cx="10692000" cy="88320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000">
            <a:solidFill>
              <a:srgbClr val="76A5AF"/>
            </a:solidFill>
            <a:latin typeface="Cambria Math"/>
            <a:ea typeface="Cambria Math"/>
            <a:cs typeface="Cambria Math"/>
            <a:sym typeface="Cambria Math"/>
          </a:endParaRPr>
        </a:p>
      </xdr:txBody>
    </xdr:sp>
    <xdr:clientData fLocksWithSheet="0"/>
  </xdr:oneCellAnchor>
  <xdr:oneCellAnchor>
    <xdr:from>
      <xdr:col>26</xdr:col>
      <xdr:colOff>676275</xdr:colOff>
      <xdr:row>3</xdr:row>
      <xdr:rowOff>95250</xdr:rowOff>
    </xdr:from>
    <xdr:ext cx="38100" cy="17145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345968" y="3693951"/>
          <a:ext cx="65" cy="172098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26</xdr:col>
      <xdr:colOff>676275</xdr:colOff>
      <xdr:row>19</xdr:row>
      <xdr:rowOff>95250</xdr:rowOff>
    </xdr:from>
    <xdr:ext cx="38100" cy="171450"/>
    <xdr:sp macro="" textlink="">
      <xdr:nvSpPr>
        <xdr:cNvPr id="7" name="Shap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345968" y="3693951"/>
          <a:ext cx="65" cy="172098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26</xdr:col>
      <xdr:colOff>676275</xdr:colOff>
      <xdr:row>18</xdr:row>
      <xdr:rowOff>95250</xdr:rowOff>
    </xdr:from>
    <xdr:ext cx="38100" cy="171450"/>
    <xdr:sp macro="" textlink="">
      <xdr:nvSpPr>
        <xdr:cNvPr id="8" name="Shape 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345968" y="3693951"/>
          <a:ext cx="65" cy="172098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647700</xdr:colOff>
      <xdr:row>3</xdr:row>
      <xdr:rowOff>47625</xdr:rowOff>
    </xdr:from>
    <xdr:ext cx="38100" cy="171450"/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5345968" y="3693951"/>
          <a:ext cx="65" cy="172098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676275</xdr:colOff>
      <xdr:row>4</xdr:row>
      <xdr:rowOff>95250</xdr:rowOff>
    </xdr:from>
    <xdr:ext cx="38100" cy="171450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5345968" y="3693951"/>
          <a:ext cx="65" cy="172098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676275</xdr:colOff>
      <xdr:row>3</xdr:row>
      <xdr:rowOff>95250</xdr:rowOff>
    </xdr:from>
    <xdr:ext cx="38100" cy="1714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5345968" y="3693951"/>
          <a:ext cx="65" cy="172098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676275</xdr:colOff>
      <xdr:row>3</xdr:row>
      <xdr:rowOff>95250</xdr:rowOff>
    </xdr:from>
    <xdr:ext cx="38100" cy="171450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/>
      </xdr:nvSpPr>
      <xdr:spPr>
        <a:xfrm>
          <a:off x="5345968" y="3693951"/>
          <a:ext cx="65" cy="172098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92"/>
  <sheetViews>
    <sheetView tabSelected="1" workbookViewId="0">
      <selection activeCell="A5" sqref="A5:D5"/>
    </sheetView>
  </sheetViews>
  <sheetFormatPr baseColWidth="10" defaultColWidth="12.6640625" defaultRowHeight="15" customHeight="1"/>
  <cols>
    <col min="1" max="1" width="27.83203125" customWidth="1"/>
    <col min="2" max="2" width="8.83203125" customWidth="1"/>
    <col min="3" max="3" width="9.83203125" customWidth="1"/>
    <col min="4" max="4" width="8.33203125" customWidth="1"/>
    <col min="5" max="5" width="7.1640625" customWidth="1"/>
    <col min="6" max="6" width="22.5" customWidth="1"/>
    <col min="7" max="7" width="10" customWidth="1"/>
    <col min="8" max="8" width="11.1640625" customWidth="1"/>
    <col min="9" max="10" width="10.1640625" customWidth="1"/>
    <col min="11" max="11" width="10.83203125" customWidth="1"/>
    <col min="12" max="12" width="6.83203125" customWidth="1"/>
    <col min="13" max="13" width="8.6640625" customWidth="1"/>
    <col min="14" max="14" width="19" customWidth="1"/>
    <col min="15" max="15" width="19.5" customWidth="1"/>
    <col min="16" max="16" width="23" customWidth="1"/>
    <col min="17" max="17" width="8.83203125" customWidth="1"/>
    <col min="18" max="18" width="14.5" customWidth="1"/>
    <col min="19" max="19" width="9.83203125" customWidth="1"/>
    <col min="20" max="20" width="12.6640625" customWidth="1"/>
    <col min="21" max="22" width="9.33203125" customWidth="1"/>
    <col min="23" max="23" width="28.6640625" customWidth="1"/>
    <col min="24" max="24" width="32.1640625" customWidth="1"/>
    <col min="25" max="25" width="29.1640625" customWidth="1"/>
    <col min="26" max="26" width="17.83203125" customWidth="1"/>
    <col min="27" max="27" width="9.33203125" customWidth="1"/>
    <col min="28" max="28" width="29.1640625" customWidth="1"/>
    <col min="29" max="29" width="22.1640625" customWidth="1"/>
    <col min="30" max="33" width="9.33203125" customWidth="1"/>
    <col min="34" max="34" width="21.6640625" customWidth="1"/>
    <col min="35" max="35" width="9.33203125" customWidth="1"/>
    <col min="36" max="36" width="34.33203125" customWidth="1"/>
    <col min="37" max="40" width="9.33203125" customWidth="1"/>
  </cols>
  <sheetData>
    <row r="1" spans="1:40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>
      <c r="A2" s="374" t="s">
        <v>169</v>
      </c>
      <c r="B2" s="375"/>
      <c r="C2" s="375"/>
      <c r="D2" s="347"/>
      <c r="E2" s="2"/>
      <c r="F2" s="374" t="s">
        <v>1</v>
      </c>
      <c r="G2" s="375"/>
      <c r="H2" s="375"/>
      <c r="I2" s="375"/>
      <c r="J2" s="375"/>
      <c r="K2" s="347"/>
      <c r="L2" s="2"/>
      <c r="M2" s="374" t="s">
        <v>2</v>
      </c>
      <c r="N2" s="375"/>
      <c r="O2" s="375"/>
      <c r="P2" s="375"/>
      <c r="Q2" s="375"/>
      <c r="R2" s="375"/>
      <c r="S2" s="4"/>
      <c r="T2" s="5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>
      <c r="A3" s="6"/>
      <c r="B3" s="2"/>
      <c r="C3" s="2"/>
      <c r="D3" s="7"/>
      <c r="E3" s="2"/>
      <c r="F3" s="8"/>
      <c r="G3" s="2"/>
      <c r="H3" s="2"/>
      <c r="I3" s="2"/>
      <c r="J3" s="2"/>
      <c r="K3" s="7"/>
      <c r="L3" s="2"/>
      <c r="M3" s="8"/>
      <c r="N3" s="2"/>
      <c r="O3" s="2"/>
      <c r="P3" s="2"/>
      <c r="Q3" s="2"/>
      <c r="R3" s="2"/>
      <c r="S3" s="2"/>
      <c r="T3" s="7"/>
      <c r="U3" s="2"/>
      <c r="V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>
      <c r="A4" s="9"/>
      <c r="D4" s="10"/>
      <c r="E4" s="11"/>
      <c r="F4" s="12" t="s">
        <v>3</v>
      </c>
      <c r="G4" s="13">
        <v>2015</v>
      </c>
      <c r="H4" s="13">
        <v>2016</v>
      </c>
      <c r="I4" s="13">
        <v>2017</v>
      </c>
      <c r="J4" s="13">
        <v>2018</v>
      </c>
      <c r="K4" s="14">
        <v>2019</v>
      </c>
      <c r="M4" s="376" t="s">
        <v>152</v>
      </c>
      <c r="N4" s="353"/>
      <c r="O4" s="353"/>
      <c r="P4" s="353"/>
      <c r="Q4" s="353"/>
      <c r="R4" s="354"/>
      <c r="T4" s="10"/>
      <c r="U4" s="2"/>
      <c r="V4" s="2"/>
      <c r="AD4" s="2"/>
      <c r="AE4" s="2"/>
      <c r="AF4" s="2"/>
      <c r="AG4" s="2"/>
      <c r="AI4" s="11"/>
      <c r="AK4" s="11"/>
      <c r="AL4" s="11"/>
      <c r="AM4" s="11"/>
      <c r="AN4" s="11"/>
    </row>
    <row r="5" spans="1:40">
      <c r="A5" s="368" t="s">
        <v>170</v>
      </c>
      <c r="B5" s="369"/>
      <c r="C5" s="369"/>
      <c r="D5" s="349"/>
      <c r="E5" s="11"/>
      <c r="F5" s="15"/>
      <c r="G5" s="16" t="s">
        <v>5</v>
      </c>
      <c r="H5" s="11"/>
      <c r="I5" s="11"/>
      <c r="J5" s="11"/>
      <c r="K5" s="17"/>
      <c r="M5" s="355"/>
      <c r="N5" s="356"/>
      <c r="O5" s="356"/>
      <c r="P5" s="356"/>
      <c r="Q5" s="356"/>
      <c r="R5" s="357"/>
      <c r="T5" s="10"/>
      <c r="U5" s="2"/>
      <c r="V5" s="2"/>
      <c r="AD5" s="2"/>
      <c r="AE5" s="2"/>
      <c r="AF5" s="2"/>
      <c r="AG5" s="2"/>
      <c r="AI5" s="11"/>
      <c r="AK5" s="11"/>
      <c r="AL5" s="11"/>
      <c r="AM5" s="11"/>
      <c r="AN5" s="11"/>
    </row>
    <row r="6" spans="1:40">
      <c r="A6" s="19" t="s">
        <v>6</v>
      </c>
      <c r="B6" s="20" t="s">
        <v>8</v>
      </c>
      <c r="C6" s="20" t="s">
        <v>9</v>
      </c>
      <c r="D6" s="20" t="s">
        <v>10</v>
      </c>
      <c r="E6" s="11"/>
      <c r="F6" s="342" t="s">
        <v>153</v>
      </c>
      <c r="G6" s="33">
        <v>10459776</v>
      </c>
      <c r="H6" s="35">
        <v>11267312</v>
      </c>
      <c r="I6" s="35">
        <v>13257408</v>
      </c>
      <c r="J6" s="35">
        <v>14780064</v>
      </c>
      <c r="K6" s="35">
        <v>11174208</v>
      </c>
      <c r="M6" s="47"/>
      <c r="N6" s="47" t="s">
        <v>27</v>
      </c>
      <c r="O6" s="47" t="s">
        <v>28</v>
      </c>
      <c r="P6" s="47" t="s">
        <v>29</v>
      </c>
      <c r="Q6" s="47" t="s">
        <v>30</v>
      </c>
      <c r="R6" s="47" t="s">
        <v>31</v>
      </c>
      <c r="T6" s="10"/>
      <c r="U6" s="2"/>
      <c r="V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>
      <c r="A7" s="50" t="s">
        <v>32</v>
      </c>
      <c r="B7" s="20">
        <v>2750</v>
      </c>
      <c r="C7" s="20">
        <v>6</v>
      </c>
      <c r="D7" s="20">
        <v>0</v>
      </c>
      <c r="E7" s="11"/>
      <c r="F7" s="51" t="s">
        <v>154</v>
      </c>
      <c r="G7" s="64">
        <v>4530680</v>
      </c>
      <c r="H7" s="64">
        <v>4270433</v>
      </c>
      <c r="I7" s="64">
        <v>4300898</v>
      </c>
      <c r="J7" s="64">
        <v>4002406</v>
      </c>
      <c r="K7" s="64">
        <v>3928691</v>
      </c>
      <c r="M7" s="47" t="s">
        <v>8</v>
      </c>
      <c r="N7" s="370">
        <v>0.84499999999999997</v>
      </c>
      <c r="O7" s="47">
        <v>3161</v>
      </c>
      <c r="P7" s="47">
        <v>5.23</v>
      </c>
      <c r="Q7" s="71">
        <f>$C$19/10</f>
        <v>21.4</v>
      </c>
      <c r="R7" s="47">
        <f t="shared" ref="R7:R9" si="0">($N$7*O7*P7*Q7)/(1000)</f>
        <v>298.94869848999997</v>
      </c>
      <c r="T7" s="10"/>
      <c r="U7" s="2"/>
      <c r="V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>
      <c r="A8" s="82" t="s">
        <v>42</v>
      </c>
      <c r="B8" s="84">
        <v>3206</v>
      </c>
      <c r="C8" s="84">
        <v>51</v>
      </c>
      <c r="D8" s="84">
        <v>2</v>
      </c>
      <c r="E8" s="11"/>
      <c r="F8" s="86" t="s">
        <v>148</v>
      </c>
      <c r="G8" s="89">
        <v>10012732</v>
      </c>
      <c r="H8" s="89">
        <v>13050015</v>
      </c>
      <c r="I8" s="89">
        <v>13633182</v>
      </c>
      <c r="J8" s="89">
        <v>13112217</v>
      </c>
      <c r="K8" s="89">
        <v>10917648</v>
      </c>
      <c r="M8" s="47" t="s">
        <v>9</v>
      </c>
      <c r="N8" s="344"/>
      <c r="O8" s="47">
        <v>4.7</v>
      </c>
      <c r="P8" s="47">
        <v>5.23</v>
      </c>
      <c r="Q8" s="71">
        <f t="shared" ref="Q8:Q9" si="1">$C$19/10</f>
        <v>21.4</v>
      </c>
      <c r="R8" s="47">
        <f t="shared" si="0"/>
        <v>0.44449822299999997</v>
      </c>
      <c r="T8" s="10"/>
      <c r="U8" s="2"/>
      <c r="V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>
      <c r="A9" s="91" t="s">
        <v>50</v>
      </c>
      <c r="B9" s="93">
        <v>3161</v>
      </c>
      <c r="C9" s="93">
        <v>4.7</v>
      </c>
      <c r="D9" s="93">
        <v>0.02</v>
      </c>
      <c r="E9" s="11"/>
      <c r="F9" s="95" t="s">
        <v>155</v>
      </c>
      <c r="G9" s="63">
        <v>1208298</v>
      </c>
      <c r="H9" s="63">
        <v>1435378</v>
      </c>
      <c r="I9" s="63">
        <v>1629542</v>
      </c>
      <c r="J9" s="63">
        <v>2492221</v>
      </c>
      <c r="K9" s="63">
        <v>1018900</v>
      </c>
      <c r="M9" s="47" t="s">
        <v>10</v>
      </c>
      <c r="N9" s="345"/>
      <c r="O9" s="47">
        <v>0.02</v>
      </c>
      <c r="P9" s="47">
        <v>5.23</v>
      </c>
      <c r="Q9" s="71">
        <f t="shared" si="1"/>
        <v>21.4</v>
      </c>
      <c r="R9" s="47">
        <f t="shared" si="0"/>
        <v>1.8914817999999998E-3</v>
      </c>
      <c r="T9" s="10"/>
      <c r="U9" s="2"/>
      <c r="V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ht="16" thickBot="1">
      <c r="A10" s="15"/>
      <c r="B10" s="99"/>
      <c r="C10" s="99"/>
      <c r="D10" s="101"/>
      <c r="E10" s="11"/>
      <c r="F10" s="102" t="s">
        <v>156</v>
      </c>
      <c r="G10" s="103">
        <v>27876651</v>
      </c>
      <c r="H10" s="103">
        <v>29005875</v>
      </c>
      <c r="I10" s="103">
        <v>29175536</v>
      </c>
      <c r="J10" s="103">
        <v>29678683</v>
      </c>
      <c r="K10" s="103">
        <v>29250820</v>
      </c>
      <c r="M10" s="105"/>
      <c r="N10" s="107"/>
      <c r="O10" s="107"/>
      <c r="P10" s="107"/>
      <c r="Q10" s="107"/>
      <c r="R10" s="107"/>
      <c r="T10" s="10"/>
      <c r="U10" s="2"/>
      <c r="V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ht="16" thickBot="1">
      <c r="A11" s="9"/>
      <c r="D11" s="10"/>
      <c r="E11" s="11"/>
      <c r="F11" s="183" t="s">
        <v>157</v>
      </c>
      <c r="G11" s="108">
        <v>2506104</v>
      </c>
      <c r="H11" s="108">
        <v>3805918</v>
      </c>
      <c r="I11" s="108">
        <v>2869095</v>
      </c>
      <c r="J11" s="108">
        <v>4515292</v>
      </c>
      <c r="K11" s="108">
        <v>5262099</v>
      </c>
      <c r="M11" s="371" t="s">
        <v>151</v>
      </c>
      <c r="N11" s="353"/>
      <c r="O11" s="353"/>
      <c r="P11" s="353"/>
      <c r="Q11" s="353"/>
      <c r="R11" s="354"/>
      <c r="T11" s="10"/>
      <c r="U11" s="2"/>
      <c r="V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ht="16" thickBot="1">
      <c r="A12" s="110" t="s">
        <v>64</v>
      </c>
      <c r="B12" s="11"/>
      <c r="C12" s="11"/>
      <c r="D12" s="17"/>
      <c r="E12" s="11"/>
      <c r="F12" s="50"/>
      <c r="G12" s="112"/>
      <c r="H12" s="50"/>
      <c r="I12" s="50"/>
      <c r="J12" s="50"/>
      <c r="K12" s="50"/>
      <c r="M12" s="355"/>
      <c r="N12" s="356"/>
      <c r="O12" s="356"/>
      <c r="P12" s="356"/>
      <c r="Q12" s="356"/>
      <c r="R12" s="357"/>
      <c r="T12" s="10"/>
      <c r="U12" s="2"/>
      <c r="V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>
      <c r="A13" s="363" t="s">
        <v>29</v>
      </c>
      <c r="B13" s="359"/>
      <c r="C13" s="116">
        <v>5.23</v>
      </c>
      <c r="D13" s="17"/>
      <c r="E13" s="11"/>
      <c r="F13" s="15"/>
      <c r="G13" s="16" t="s">
        <v>67</v>
      </c>
      <c r="H13" s="11"/>
      <c r="I13" s="11"/>
      <c r="J13" s="11"/>
      <c r="K13" s="17"/>
      <c r="M13" s="118"/>
      <c r="N13" s="118" t="s">
        <v>27</v>
      </c>
      <c r="O13" s="118" t="s">
        <v>28</v>
      </c>
      <c r="P13" s="118" t="s">
        <v>29</v>
      </c>
      <c r="Q13" s="118" t="s">
        <v>30</v>
      </c>
      <c r="R13" s="118" t="s">
        <v>31</v>
      </c>
      <c r="T13" s="10"/>
      <c r="U13" s="2"/>
      <c r="V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>
      <c r="A14" s="363" t="s">
        <v>68</v>
      </c>
      <c r="B14" s="359"/>
      <c r="C14" s="20">
        <v>3.81</v>
      </c>
      <c r="D14" s="17"/>
      <c r="E14" s="11"/>
      <c r="F14" s="342" t="s">
        <v>153</v>
      </c>
      <c r="G14" s="120">
        <f t="shared" ref="G14:K14" si="2">(G6)/$C$23</f>
        <v>7679.7180616740088</v>
      </c>
      <c r="H14" s="120">
        <f t="shared" si="2"/>
        <v>8272.6226138032307</v>
      </c>
      <c r="I14" s="120">
        <f t="shared" si="2"/>
        <v>9733.7797356828196</v>
      </c>
      <c r="J14" s="120">
        <f t="shared" si="2"/>
        <v>10851.735682819382</v>
      </c>
      <c r="K14" s="120">
        <f t="shared" si="2"/>
        <v>8204.2643171806176</v>
      </c>
      <c r="M14" s="118" t="s">
        <v>8</v>
      </c>
      <c r="N14" s="372">
        <v>0.84499999999999997</v>
      </c>
      <c r="O14" s="118">
        <v>3161</v>
      </c>
      <c r="P14" s="118">
        <v>5.23</v>
      </c>
      <c r="Q14" s="121">
        <f t="shared" ref="Q14:Q16" si="3">$C$18/10</f>
        <v>8.1</v>
      </c>
      <c r="R14" s="123">
        <f t="shared" ref="R14:R16" si="4">($N$14*O14*P14*Q14)/(1000)</f>
        <v>113.153479335</v>
      </c>
      <c r="T14" s="10"/>
      <c r="U14" s="2"/>
      <c r="V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>
      <c r="A15" s="9"/>
      <c r="D15" s="17"/>
      <c r="E15" s="11"/>
      <c r="F15" s="51" t="s">
        <v>154</v>
      </c>
      <c r="G15" s="125">
        <f t="shared" ref="G15:K15" si="5">G7/$C$23</f>
        <v>3326.4904552129224</v>
      </c>
      <c r="H15" s="125">
        <f t="shared" si="5"/>
        <v>3135.4133627019091</v>
      </c>
      <c r="I15" s="125">
        <f t="shared" si="5"/>
        <v>3157.7812041116008</v>
      </c>
      <c r="J15" s="125">
        <f t="shared" si="5"/>
        <v>2938.6240822320119</v>
      </c>
      <c r="K15" s="125">
        <f t="shared" si="5"/>
        <v>2884.5014684287812</v>
      </c>
      <c r="M15" s="118" t="s">
        <v>9</v>
      </c>
      <c r="N15" s="344"/>
      <c r="O15" s="118">
        <v>4.7</v>
      </c>
      <c r="P15" s="118">
        <v>5.23</v>
      </c>
      <c r="Q15" s="121">
        <f t="shared" si="3"/>
        <v>8.1</v>
      </c>
      <c r="R15" s="123">
        <f t="shared" si="4"/>
        <v>0.16824465450000001</v>
      </c>
      <c r="T15" s="10"/>
      <c r="U15" s="2"/>
      <c r="V15" s="2"/>
      <c r="W15" s="2"/>
      <c r="X15" s="2"/>
      <c r="Y15" s="2"/>
      <c r="Z15" s="2"/>
      <c r="AA15" s="11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>
      <c r="A16" s="373" t="s">
        <v>74</v>
      </c>
      <c r="B16" s="369"/>
      <c r="D16" s="17"/>
      <c r="E16" s="11"/>
      <c r="F16" s="86" t="s">
        <v>148</v>
      </c>
      <c r="G16" s="130">
        <f t="shared" ref="G16:K16" si="6">G8/$C$23</f>
        <v>7351.4919236417036</v>
      </c>
      <c r="H16" s="130">
        <f t="shared" si="6"/>
        <v>9581.5088105726863</v>
      </c>
      <c r="I16" s="130">
        <f t="shared" si="6"/>
        <v>10009.678414096916</v>
      </c>
      <c r="J16" s="130">
        <f t="shared" si="6"/>
        <v>9627.1784140969157</v>
      </c>
      <c r="K16" s="130">
        <f t="shared" si="6"/>
        <v>8015.894273127753</v>
      </c>
      <c r="M16" s="118" t="s">
        <v>10</v>
      </c>
      <c r="N16" s="345"/>
      <c r="O16" s="118">
        <v>0.02</v>
      </c>
      <c r="P16" s="118">
        <v>5.23</v>
      </c>
      <c r="Q16" s="121">
        <f t="shared" si="3"/>
        <v>8.1</v>
      </c>
      <c r="R16" s="123">
        <f t="shared" si="4"/>
        <v>7.1593469999999991E-4</v>
      </c>
      <c r="T16" s="10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>
      <c r="A17" s="363" t="s">
        <v>160</v>
      </c>
      <c r="B17" s="359"/>
      <c r="C17" s="116">
        <v>260</v>
      </c>
      <c r="D17" s="17"/>
      <c r="E17" s="11"/>
      <c r="F17" s="95" t="s">
        <v>155</v>
      </c>
      <c r="G17" s="136">
        <f t="shared" ref="G17:K17" si="7">G9/$C$23</f>
        <v>887.14977973568284</v>
      </c>
      <c r="H17" s="136">
        <f t="shared" si="7"/>
        <v>1053.8751835535977</v>
      </c>
      <c r="I17" s="136">
        <f t="shared" si="7"/>
        <v>1196.4331864904552</v>
      </c>
      <c r="J17" s="136">
        <f t="shared" si="7"/>
        <v>1829.824522760646</v>
      </c>
      <c r="K17" s="136">
        <f t="shared" si="7"/>
        <v>748.0910425844346</v>
      </c>
      <c r="M17" s="9"/>
      <c r="T17" s="10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 ht="16" thickBot="1">
      <c r="A18" s="363" t="s">
        <v>159</v>
      </c>
      <c r="B18" s="359"/>
      <c r="C18" s="116">
        <v>81</v>
      </c>
      <c r="D18" s="17"/>
      <c r="E18" s="11"/>
      <c r="F18" s="102" t="s">
        <v>156</v>
      </c>
      <c r="G18" s="138">
        <f t="shared" ref="G18:K18" si="8">G10/$C$23</f>
        <v>20467.438325991188</v>
      </c>
      <c r="H18" s="138">
        <f t="shared" si="8"/>
        <v>21296.530837004404</v>
      </c>
      <c r="I18" s="138">
        <f t="shared" si="8"/>
        <v>21421.098384728342</v>
      </c>
      <c r="J18" s="138">
        <f t="shared" si="8"/>
        <v>21790.516152716595</v>
      </c>
      <c r="K18" s="138">
        <f t="shared" si="8"/>
        <v>21476.372980910426</v>
      </c>
      <c r="M18" s="367" t="s">
        <v>150</v>
      </c>
      <c r="N18" s="353"/>
      <c r="O18" s="353"/>
      <c r="P18" s="353"/>
      <c r="Q18" s="353"/>
      <c r="R18" s="354"/>
      <c r="T18" s="10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16" thickBot="1">
      <c r="A19" s="363" t="s">
        <v>158</v>
      </c>
      <c r="B19" s="359"/>
      <c r="C19" s="116">
        <v>214</v>
      </c>
      <c r="D19" s="17"/>
      <c r="E19" s="11"/>
      <c r="F19" s="183" t="s">
        <v>157</v>
      </c>
      <c r="G19" s="139">
        <f t="shared" ref="G19:K19" si="9">G11/$C$23</f>
        <v>1840.0176211453745</v>
      </c>
      <c r="H19" s="139">
        <f t="shared" si="9"/>
        <v>2794.3597650513948</v>
      </c>
      <c r="I19" s="139">
        <f t="shared" si="9"/>
        <v>2106.5308370044054</v>
      </c>
      <c r="J19" s="139">
        <f t="shared" si="9"/>
        <v>3315.1923641703379</v>
      </c>
      <c r="K19" s="139">
        <f t="shared" si="9"/>
        <v>3863.5088105726873</v>
      </c>
      <c r="M19" s="355"/>
      <c r="N19" s="356"/>
      <c r="O19" s="356"/>
      <c r="P19" s="356"/>
      <c r="Q19" s="356"/>
      <c r="R19" s="357"/>
      <c r="T19" s="10"/>
      <c r="U19" s="99"/>
      <c r="V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0" ht="16" thickBot="1">
      <c r="A20" s="9"/>
      <c r="D20" s="17"/>
      <c r="E20" s="11"/>
      <c r="F20" s="15"/>
      <c r="G20" s="11"/>
      <c r="H20" s="11"/>
      <c r="I20" s="11"/>
      <c r="J20" s="11"/>
      <c r="K20" s="17"/>
      <c r="M20" s="142"/>
      <c r="N20" s="142" t="s">
        <v>27</v>
      </c>
      <c r="O20" s="142" t="s">
        <v>28</v>
      </c>
      <c r="P20" s="142" t="s">
        <v>29</v>
      </c>
      <c r="Q20" s="144" t="s">
        <v>30</v>
      </c>
      <c r="R20" s="142" t="s">
        <v>31</v>
      </c>
      <c r="T20" s="10"/>
      <c r="U20" s="99"/>
      <c r="V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40" ht="15.75" customHeight="1">
      <c r="A21" s="364" t="s">
        <v>80</v>
      </c>
      <c r="B21" s="359"/>
      <c r="C21" s="146">
        <v>0.84499999999999997</v>
      </c>
      <c r="D21" s="17"/>
      <c r="E21" s="11"/>
      <c r="F21" s="15"/>
      <c r="G21" s="16" t="s">
        <v>81</v>
      </c>
      <c r="H21" s="11"/>
      <c r="I21" s="11"/>
      <c r="J21" s="11"/>
      <c r="K21" s="17"/>
      <c r="M21" s="142" t="s">
        <v>8</v>
      </c>
      <c r="N21" s="365">
        <v>0.84499999999999997</v>
      </c>
      <c r="O21" s="142">
        <v>3161</v>
      </c>
      <c r="P21" s="142">
        <v>5.23</v>
      </c>
      <c r="Q21" s="148">
        <f t="shared" ref="Q21:Q23" si="10">$C$17/10</f>
        <v>26</v>
      </c>
      <c r="R21" s="142">
        <f t="shared" ref="R21:R23" si="11">(Q21*P21*$N$21*O21)/(1000)</f>
        <v>363.20869910000005</v>
      </c>
      <c r="T21" s="10"/>
      <c r="U21" s="99"/>
      <c r="V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1:40" ht="15.75" customHeight="1">
      <c r="A22" s="9"/>
      <c r="D22" s="17"/>
      <c r="E22" s="11"/>
      <c r="F22" s="342" t="s">
        <v>153</v>
      </c>
      <c r="G22" s="106">
        <f t="shared" ref="G22:K22" si="12">G14*$C$27</f>
        <v>105212.13744493392</v>
      </c>
      <c r="H22" s="106">
        <f t="shared" si="12"/>
        <v>113334.92980910426</v>
      </c>
      <c r="I22" s="106">
        <f t="shared" si="12"/>
        <v>133352.78237885461</v>
      </c>
      <c r="J22" s="106">
        <f t="shared" si="12"/>
        <v>148668.77885462553</v>
      </c>
      <c r="K22" s="106">
        <f t="shared" si="12"/>
        <v>112398.42114537445</v>
      </c>
      <c r="M22" s="142" t="s">
        <v>9</v>
      </c>
      <c r="N22" s="344"/>
      <c r="O22" s="142">
        <v>4.7</v>
      </c>
      <c r="P22" s="142">
        <v>5.23</v>
      </c>
      <c r="Q22" s="148">
        <f t="shared" si="10"/>
        <v>26</v>
      </c>
      <c r="R22" s="142">
        <f t="shared" si="11"/>
        <v>0.54004457000000006</v>
      </c>
      <c r="T22" s="10"/>
      <c r="U22" s="2"/>
      <c r="V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15.75" customHeight="1">
      <c r="A23" s="366" t="s">
        <v>82</v>
      </c>
      <c r="B23" s="359"/>
      <c r="C23" s="50">
        <v>1362</v>
      </c>
      <c r="D23" s="17"/>
      <c r="E23" s="11"/>
      <c r="F23" s="51" t="s">
        <v>154</v>
      </c>
      <c r="G23" s="151">
        <f t="shared" ref="G23:G27" si="13">G15*$C$27</f>
        <v>45572.919236417038</v>
      </c>
      <c r="H23" s="151">
        <f t="shared" ref="H23:K23" si="14">H7*$C$27/1000</f>
        <v>58504.932099999991</v>
      </c>
      <c r="I23" s="151">
        <f t="shared" si="14"/>
        <v>58922.302599999995</v>
      </c>
      <c r="J23" s="151">
        <f t="shared" si="14"/>
        <v>54832.962199999994</v>
      </c>
      <c r="K23" s="151">
        <f t="shared" si="14"/>
        <v>53823.066699999996</v>
      </c>
      <c r="M23" s="142" t="s">
        <v>10</v>
      </c>
      <c r="N23" s="345"/>
      <c r="O23" s="142">
        <v>0.02</v>
      </c>
      <c r="P23" s="142">
        <v>5.23</v>
      </c>
      <c r="Q23" s="148">
        <f t="shared" si="10"/>
        <v>26</v>
      </c>
      <c r="R23" s="142">
        <f t="shared" si="11"/>
        <v>2.2980620000000005E-3</v>
      </c>
      <c r="T23" s="10"/>
      <c r="U23" s="2"/>
      <c r="V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</row>
    <row r="24" spans="1:40" ht="15.75" customHeight="1">
      <c r="A24" s="9"/>
      <c r="D24" s="17"/>
      <c r="E24" s="11"/>
      <c r="F24" s="86" t="s">
        <v>148</v>
      </c>
      <c r="G24" s="152">
        <f t="shared" si="13"/>
        <v>100715.43935389133</v>
      </c>
      <c r="H24" s="152">
        <f t="shared" ref="H24:K24" si="15">H8*$C$27/1000</f>
        <v>178785.20550000001</v>
      </c>
      <c r="I24" s="152">
        <f t="shared" si="15"/>
        <v>186774.59339999998</v>
      </c>
      <c r="J24" s="152">
        <f t="shared" si="15"/>
        <v>179637.37289999999</v>
      </c>
      <c r="K24" s="152">
        <f t="shared" si="15"/>
        <v>149571.7776</v>
      </c>
      <c r="M24" s="8"/>
      <c r="N24" s="2"/>
      <c r="T24" s="10"/>
      <c r="U24" s="2"/>
      <c r="V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</row>
    <row r="25" spans="1:40" ht="15.75" customHeight="1">
      <c r="A25" s="366" t="s">
        <v>84</v>
      </c>
      <c r="B25" s="359"/>
      <c r="C25" s="50">
        <v>21</v>
      </c>
      <c r="D25" s="17"/>
      <c r="E25" s="11"/>
      <c r="F25" s="95" t="s">
        <v>155</v>
      </c>
      <c r="G25" s="154">
        <f t="shared" si="13"/>
        <v>12153.951982378854</v>
      </c>
      <c r="H25" s="154">
        <f t="shared" ref="H25:K25" si="16">H9*$C$27/1000</f>
        <v>19664.678599999999</v>
      </c>
      <c r="I25" s="154">
        <f t="shared" si="16"/>
        <v>22324.725399999999</v>
      </c>
      <c r="J25" s="154">
        <f t="shared" si="16"/>
        <v>34143.427699999993</v>
      </c>
      <c r="K25" s="154">
        <f t="shared" si="16"/>
        <v>13958.93</v>
      </c>
      <c r="M25" s="352" t="s">
        <v>148</v>
      </c>
      <c r="N25" s="353"/>
      <c r="O25" s="353"/>
      <c r="P25" s="353"/>
      <c r="Q25" s="353"/>
      <c r="R25" s="353"/>
      <c r="S25" s="354"/>
      <c r="T25" s="10"/>
      <c r="U25" s="2"/>
      <c r="V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1:40" ht="15.75" customHeight="1" thickBot="1">
      <c r="A26" s="9"/>
      <c r="D26" s="7"/>
      <c r="E26" s="2"/>
      <c r="F26" s="102" t="s">
        <v>156</v>
      </c>
      <c r="G26" s="156">
        <f t="shared" si="13"/>
        <v>280403.90506607929</v>
      </c>
      <c r="H26" s="156">
        <f t="shared" ref="H26:K26" si="17">H10*$C$27/1000</f>
        <v>397380.48749999999</v>
      </c>
      <c r="I26" s="156">
        <f t="shared" si="17"/>
        <v>399704.8432</v>
      </c>
      <c r="J26" s="156">
        <f t="shared" si="17"/>
        <v>406597.95709999994</v>
      </c>
      <c r="K26" s="156">
        <f t="shared" si="17"/>
        <v>400736.234</v>
      </c>
      <c r="M26" s="355"/>
      <c r="N26" s="356"/>
      <c r="O26" s="356"/>
      <c r="P26" s="356"/>
      <c r="Q26" s="356"/>
      <c r="R26" s="356"/>
      <c r="S26" s="357"/>
      <c r="T26" s="10"/>
      <c r="V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1:40" ht="15.75" customHeight="1" thickBot="1">
      <c r="A27" s="364" t="s">
        <v>85</v>
      </c>
      <c r="B27" s="359"/>
      <c r="C27" s="34">
        <v>13.7</v>
      </c>
      <c r="D27" s="7"/>
      <c r="E27" s="2"/>
      <c r="F27" s="183" t="s">
        <v>157</v>
      </c>
      <c r="G27" s="160">
        <f t="shared" si="13"/>
        <v>25208.241409691629</v>
      </c>
      <c r="H27" s="160">
        <f t="shared" ref="H27:K27" si="18">H19*$C$27</f>
        <v>38282.728781204103</v>
      </c>
      <c r="I27" s="160">
        <f t="shared" si="18"/>
        <v>28859.472466960353</v>
      </c>
      <c r="J27" s="160">
        <f t="shared" si="18"/>
        <v>45418.135389133626</v>
      </c>
      <c r="K27" s="160">
        <f t="shared" si="18"/>
        <v>52930.070704845813</v>
      </c>
      <c r="M27" s="161"/>
      <c r="N27" s="161" t="s">
        <v>28</v>
      </c>
      <c r="O27" s="161" t="s">
        <v>86</v>
      </c>
      <c r="P27" s="161" t="s">
        <v>87</v>
      </c>
      <c r="Q27" s="162"/>
      <c r="R27" s="358" t="s">
        <v>31</v>
      </c>
      <c r="S27" s="359"/>
      <c r="T27" s="10"/>
      <c r="V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  <row r="28" spans="1:40" ht="15.75" customHeight="1" thickBot="1">
      <c r="A28" s="15"/>
      <c r="C28" s="11"/>
      <c r="D28" s="7"/>
      <c r="E28" s="2"/>
      <c r="F28" s="15"/>
      <c r="G28" s="11"/>
      <c r="H28" s="11"/>
      <c r="I28" s="11"/>
      <c r="J28" s="11"/>
      <c r="K28" s="17"/>
      <c r="M28" s="161" t="s">
        <v>32</v>
      </c>
      <c r="N28" s="161"/>
      <c r="O28" s="360"/>
      <c r="P28" s="359"/>
      <c r="Q28" s="343"/>
      <c r="R28" s="346"/>
      <c r="S28" s="347"/>
      <c r="T28" s="10"/>
      <c r="V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40" ht="15.75" customHeight="1">
      <c r="A29" s="364" t="s">
        <v>89</v>
      </c>
      <c r="B29" s="359"/>
      <c r="C29" s="34">
        <v>435</v>
      </c>
      <c r="D29" s="7"/>
      <c r="E29" s="2"/>
      <c r="F29" s="15"/>
      <c r="G29" s="16" t="s">
        <v>90</v>
      </c>
      <c r="H29" s="11"/>
      <c r="I29" s="11"/>
      <c r="J29" s="11"/>
      <c r="K29" s="17"/>
      <c r="M29" s="161" t="s">
        <v>8</v>
      </c>
      <c r="N29" s="161">
        <v>2750</v>
      </c>
      <c r="O29" s="343">
        <v>10.5</v>
      </c>
      <c r="P29" s="161">
        <f>N29*O29</f>
        <v>28875</v>
      </c>
      <c r="Q29" s="344"/>
      <c r="R29" s="350"/>
      <c r="S29" s="351"/>
      <c r="T29" s="10"/>
      <c r="V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 ht="15.75" customHeight="1">
      <c r="A30" s="15"/>
      <c r="B30" s="11"/>
      <c r="C30" s="11"/>
      <c r="D30" s="7"/>
      <c r="E30" s="2"/>
      <c r="F30" s="341" t="s">
        <v>153</v>
      </c>
      <c r="G30" s="165">
        <v>0</v>
      </c>
      <c r="H30" s="165">
        <v>0</v>
      </c>
      <c r="I30" s="165">
        <v>0</v>
      </c>
      <c r="J30" s="165">
        <v>0</v>
      </c>
      <c r="K30" s="165">
        <v>0</v>
      </c>
      <c r="M30" s="161" t="s">
        <v>9</v>
      </c>
      <c r="N30" s="161">
        <v>6</v>
      </c>
      <c r="O30" s="344"/>
      <c r="P30" s="161">
        <f>N30*O29</f>
        <v>63</v>
      </c>
      <c r="Q30" s="344"/>
      <c r="R30" s="161" t="s">
        <v>8</v>
      </c>
      <c r="S30" s="102">
        <f t="shared" ref="S30:S32" si="19">P29+P33</f>
        <v>34325.199999999997</v>
      </c>
      <c r="T30" s="10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40" ht="15.75" customHeight="1">
      <c r="A31" s="368" t="s">
        <v>91</v>
      </c>
      <c r="B31" s="369"/>
      <c r="C31" s="369"/>
      <c r="D31" s="7"/>
      <c r="E31" s="2"/>
      <c r="F31" s="166" t="s">
        <v>154</v>
      </c>
      <c r="G31" s="166">
        <f>ROUNDUP(G15/C25,0)</f>
        <v>159</v>
      </c>
      <c r="H31" s="166">
        <f>ROUNDUP(H15/C25,0)</f>
        <v>150</v>
      </c>
      <c r="I31" s="166">
        <f>ROUNDUP(I15/C25,0)</f>
        <v>151</v>
      </c>
      <c r="J31" s="166">
        <f>ROUNDUP(J15/C25,0)</f>
        <v>140</v>
      </c>
      <c r="K31" s="166">
        <f>ROUNDUP(K15/C25,0)</f>
        <v>138</v>
      </c>
      <c r="M31" s="161" t="s">
        <v>10</v>
      </c>
      <c r="N31" s="161">
        <v>0</v>
      </c>
      <c r="O31" s="345"/>
      <c r="P31" s="161">
        <f>N31*O29</f>
        <v>0</v>
      </c>
      <c r="Q31" s="344"/>
      <c r="R31" s="161" t="s">
        <v>9</v>
      </c>
      <c r="S31" s="102">
        <f t="shared" si="19"/>
        <v>149.69999999999999</v>
      </c>
      <c r="T31" s="10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0" ht="15.75" customHeight="1" thickBot="1">
      <c r="A32" s="50"/>
      <c r="B32" s="50" t="s">
        <v>93</v>
      </c>
      <c r="C32" s="50" t="s">
        <v>94</v>
      </c>
      <c r="D32" s="7"/>
      <c r="E32" s="2"/>
      <c r="F32" s="169" t="s">
        <v>148</v>
      </c>
      <c r="G32" s="169">
        <f t="shared" ref="G32:K32" si="20">ROUNDUP(G16/$C$29,0)</f>
        <v>17</v>
      </c>
      <c r="H32" s="169">
        <f t="shared" si="20"/>
        <v>23</v>
      </c>
      <c r="I32" s="169">
        <f t="shared" si="20"/>
        <v>24</v>
      </c>
      <c r="J32" s="169">
        <f t="shared" si="20"/>
        <v>23</v>
      </c>
      <c r="K32" s="169">
        <f t="shared" si="20"/>
        <v>19</v>
      </c>
      <c r="M32" s="102" t="s">
        <v>95</v>
      </c>
      <c r="N32" s="102"/>
      <c r="O32" s="361"/>
      <c r="P32" s="359"/>
      <c r="Q32" s="344"/>
      <c r="R32" s="161" t="s">
        <v>10</v>
      </c>
      <c r="S32" s="102">
        <f t="shared" si="19"/>
        <v>3.4</v>
      </c>
      <c r="T32" s="10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0" ht="15.75" customHeight="1" thickBot="1">
      <c r="A33" s="50" t="s">
        <v>161</v>
      </c>
      <c r="B33" s="50">
        <v>10.5</v>
      </c>
      <c r="C33" s="50">
        <v>1.7</v>
      </c>
      <c r="D33" s="171"/>
      <c r="E33" s="2"/>
      <c r="F33" s="172" t="s">
        <v>155</v>
      </c>
      <c r="G33" s="172">
        <f>ROUNDUP(G17/C25,0)</f>
        <v>43</v>
      </c>
      <c r="H33" s="172">
        <f t="shared" ref="H33:K33" si="21">ROUNDUP(H17/$C$25,0)</f>
        <v>51</v>
      </c>
      <c r="I33" s="172">
        <f t="shared" si="21"/>
        <v>57</v>
      </c>
      <c r="J33" s="172">
        <f t="shared" si="21"/>
        <v>88</v>
      </c>
      <c r="K33" s="172">
        <f t="shared" si="21"/>
        <v>36</v>
      </c>
      <c r="M33" s="161" t="s">
        <v>8</v>
      </c>
      <c r="N33" s="174">
        <v>3206</v>
      </c>
      <c r="O33" s="343">
        <v>1.7</v>
      </c>
      <c r="P33" s="161">
        <f>N33*O33</f>
        <v>5450.2</v>
      </c>
      <c r="Q33" s="344"/>
      <c r="R33" s="346"/>
      <c r="S33" s="347"/>
      <c r="T33" s="10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 ht="15.75" customHeight="1" thickBot="1">
      <c r="A34" s="50" t="s">
        <v>162</v>
      </c>
      <c r="B34" s="50">
        <v>20</v>
      </c>
      <c r="C34" s="176">
        <v>1.7</v>
      </c>
      <c r="D34" s="178"/>
      <c r="E34" s="2"/>
      <c r="F34" s="102" t="s">
        <v>156</v>
      </c>
      <c r="G34" s="179">
        <f t="shared" ref="G34:K34" si="22">ROUNDUP( G18/$C$29,0)</f>
        <v>48</v>
      </c>
      <c r="H34" s="179">
        <f t="shared" si="22"/>
        <v>49</v>
      </c>
      <c r="I34" s="179">
        <f t="shared" si="22"/>
        <v>50</v>
      </c>
      <c r="J34" s="179">
        <f t="shared" si="22"/>
        <v>51</v>
      </c>
      <c r="K34" s="179">
        <f t="shared" si="22"/>
        <v>50</v>
      </c>
      <c r="M34" s="161" t="s">
        <v>9</v>
      </c>
      <c r="N34" s="161">
        <v>51</v>
      </c>
      <c r="O34" s="344"/>
      <c r="P34" s="161">
        <f>N34*O33</f>
        <v>86.7</v>
      </c>
      <c r="Q34" s="344"/>
      <c r="R34" s="348"/>
      <c r="S34" s="349"/>
      <c r="T34" s="10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ht="15.75" customHeight="1">
      <c r="A35" s="180"/>
      <c r="B35" s="182"/>
      <c r="C35" s="182"/>
      <c r="D35" s="7"/>
      <c r="E35" s="2"/>
      <c r="F35" s="183" t="s">
        <v>157</v>
      </c>
      <c r="G35" s="183">
        <f t="shared" ref="G35:K35" si="23">ROUNDUP(G19/$C$25,0)</f>
        <v>88</v>
      </c>
      <c r="H35" s="183">
        <f t="shared" si="23"/>
        <v>134</v>
      </c>
      <c r="I35" s="183">
        <f t="shared" si="23"/>
        <v>101</v>
      </c>
      <c r="J35" s="183">
        <f t="shared" si="23"/>
        <v>158</v>
      </c>
      <c r="K35" s="183">
        <f t="shared" si="23"/>
        <v>184</v>
      </c>
      <c r="M35" s="161" t="s">
        <v>10</v>
      </c>
      <c r="N35" s="161">
        <v>2</v>
      </c>
      <c r="O35" s="345"/>
      <c r="P35" s="161">
        <f>N35*O33</f>
        <v>3.4</v>
      </c>
      <c r="Q35" s="345"/>
      <c r="R35" s="350"/>
      <c r="S35" s="351"/>
      <c r="T35" s="10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ht="15.75" customHeight="1">
      <c r="A36" s="362" t="s">
        <v>97</v>
      </c>
      <c r="B36" s="359"/>
      <c r="C36" s="34">
        <v>0.04</v>
      </c>
      <c r="D36" s="7"/>
      <c r="E36" s="2"/>
      <c r="M36" s="8"/>
      <c r="N36" s="2"/>
      <c r="T36" s="10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ht="15.75" customHeight="1">
      <c r="A37" s="9"/>
      <c r="B37" s="182"/>
      <c r="D37" s="7"/>
      <c r="E37" s="2"/>
      <c r="F37" s="11"/>
      <c r="G37" s="11"/>
      <c r="H37" s="11"/>
      <c r="I37" s="11"/>
      <c r="J37" s="11"/>
      <c r="K37" s="11"/>
      <c r="L37" s="11"/>
      <c r="M37" s="352" t="s">
        <v>149</v>
      </c>
      <c r="N37" s="353"/>
      <c r="O37" s="353"/>
      <c r="P37" s="353"/>
      <c r="Q37" s="353"/>
      <c r="R37" s="353"/>
      <c r="S37" s="354"/>
      <c r="T37" s="7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0" ht="21" customHeight="1">
      <c r="A38" s="362" t="s">
        <v>98</v>
      </c>
      <c r="B38" s="359"/>
      <c r="C38" s="34">
        <v>0.11</v>
      </c>
      <c r="D38" s="7"/>
      <c r="E38" s="2"/>
      <c r="M38" s="355"/>
      <c r="N38" s="356"/>
      <c r="O38" s="356"/>
      <c r="P38" s="356"/>
      <c r="Q38" s="356"/>
      <c r="R38" s="356"/>
      <c r="S38" s="357"/>
      <c r="T38" s="7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0" ht="21" customHeight="1">
      <c r="A39" s="9"/>
      <c r="B39" s="182"/>
      <c r="C39" s="182"/>
      <c r="D39" s="10"/>
      <c r="M39" s="161"/>
      <c r="N39" s="161" t="s">
        <v>28</v>
      </c>
      <c r="O39" s="161" t="s">
        <v>86</v>
      </c>
      <c r="P39" s="161" t="s">
        <v>87</v>
      </c>
      <c r="Q39" s="162"/>
      <c r="R39" s="358" t="s">
        <v>31</v>
      </c>
      <c r="S39" s="359"/>
      <c r="T39" s="10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0" ht="15.75" customHeight="1">
      <c r="A40" s="186"/>
      <c r="B40" s="187"/>
      <c r="C40" s="187"/>
      <c r="D40" s="188"/>
      <c r="E40" s="2"/>
      <c r="F40" s="2"/>
      <c r="G40" s="2"/>
      <c r="H40" s="2"/>
      <c r="I40" s="2"/>
      <c r="M40" s="161" t="s">
        <v>32</v>
      </c>
      <c r="N40" s="161"/>
      <c r="O40" s="360"/>
      <c r="P40" s="359"/>
      <c r="Q40" s="343"/>
      <c r="R40" s="346"/>
      <c r="S40" s="347"/>
      <c r="T40" s="10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40" ht="15.75" customHeight="1">
      <c r="A41" s="182"/>
      <c r="B41" s="182"/>
      <c r="C41" s="182"/>
      <c r="D41" s="2"/>
      <c r="E41" s="2"/>
      <c r="F41" s="2"/>
      <c r="G41" s="2"/>
      <c r="H41" s="2"/>
      <c r="I41" s="2"/>
      <c r="M41" s="161" t="s">
        <v>8</v>
      </c>
      <c r="N41" s="161">
        <v>2750</v>
      </c>
      <c r="O41" s="343">
        <v>20</v>
      </c>
      <c r="P41" s="161">
        <f>N41*O41</f>
        <v>55000</v>
      </c>
      <c r="Q41" s="344"/>
      <c r="R41" s="350"/>
      <c r="S41" s="351"/>
      <c r="T41" s="10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1:40" ht="15.75" customHeight="1">
      <c r="A42" s="182"/>
      <c r="B42" s="182"/>
      <c r="C42" s="182"/>
      <c r="D42" s="2"/>
      <c r="E42" s="2"/>
      <c r="F42" s="2"/>
      <c r="G42" s="2"/>
      <c r="H42" s="2"/>
      <c r="I42" s="2"/>
      <c r="M42" s="161" t="s">
        <v>9</v>
      </c>
      <c r="N42" s="161">
        <v>6</v>
      </c>
      <c r="O42" s="344"/>
      <c r="P42" s="161">
        <f>N42*O41</f>
        <v>120</v>
      </c>
      <c r="Q42" s="344"/>
      <c r="R42" s="161" t="s">
        <v>8</v>
      </c>
      <c r="S42" s="102">
        <f t="shared" ref="S42:S44" si="24">P41+P45</f>
        <v>60450.2</v>
      </c>
      <c r="T42" s="10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1:40" ht="15.75" customHeight="1">
      <c r="A43" s="2"/>
      <c r="C43" s="2"/>
      <c r="D43" s="2"/>
      <c r="E43" s="2"/>
      <c r="M43" s="161" t="s">
        <v>10</v>
      </c>
      <c r="N43" s="161">
        <v>0</v>
      </c>
      <c r="O43" s="345"/>
      <c r="P43" s="161">
        <f>N43*O41</f>
        <v>0</v>
      </c>
      <c r="Q43" s="344"/>
      <c r="R43" s="161" t="s">
        <v>9</v>
      </c>
      <c r="S43" s="102">
        <f t="shared" si="24"/>
        <v>206.7</v>
      </c>
      <c r="T43" s="10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1:40" ht="15.75" customHeight="1">
      <c r="A44" s="2"/>
      <c r="C44" s="2"/>
      <c r="D44" s="2"/>
      <c r="E44" s="2"/>
      <c r="M44" s="102" t="s">
        <v>95</v>
      </c>
      <c r="N44" s="102"/>
      <c r="O44" s="361"/>
      <c r="P44" s="359"/>
      <c r="Q44" s="344"/>
      <c r="R44" s="161" t="s">
        <v>10</v>
      </c>
      <c r="S44" s="102">
        <f t="shared" si="24"/>
        <v>3.4</v>
      </c>
      <c r="T44" s="10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1:40" ht="15.75" customHeight="1">
      <c r="A45" s="2"/>
      <c r="C45" s="2"/>
      <c r="D45" s="2"/>
      <c r="E45" s="2"/>
      <c r="M45" s="161" t="s">
        <v>8</v>
      </c>
      <c r="N45" s="174">
        <v>3206</v>
      </c>
      <c r="O45" s="343">
        <v>1.7</v>
      </c>
      <c r="P45" s="161">
        <f>N45*O45</f>
        <v>5450.2</v>
      </c>
      <c r="Q45" s="344"/>
      <c r="R45" s="346"/>
      <c r="S45" s="347"/>
      <c r="T45" s="10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1:40" ht="15.75" customHeight="1">
      <c r="A46" s="2"/>
      <c r="C46" s="2"/>
      <c r="D46" s="2"/>
      <c r="E46" s="2"/>
      <c r="M46" s="161" t="s">
        <v>9</v>
      </c>
      <c r="N46" s="161">
        <v>51</v>
      </c>
      <c r="O46" s="344"/>
      <c r="P46" s="161">
        <f>N46*O45</f>
        <v>86.7</v>
      </c>
      <c r="Q46" s="344"/>
      <c r="R46" s="348"/>
      <c r="S46" s="349"/>
      <c r="T46" s="10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15.75" customHeight="1">
      <c r="A47" s="2"/>
      <c r="C47" s="2"/>
      <c r="D47" s="2"/>
      <c r="E47" s="2"/>
      <c r="M47" s="161" t="s">
        <v>10</v>
      </c>
      <c r="N47" s="161">
        <v>2</v>
      </c>
      <c r="O47" s="345"/>
      <c r="P47" s="161">
        <f>N47*O45</f>
        <v>3.4</v>
      </c>
      <c r="Q47" s="345"/>
      <c r="R47" s="350"/>
      <c r="S47" s="351"/>
      <c r="T47" s="10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40" ht="15.75" customHeight="1">
      <c r="A48" s="2"/>
      <c r="C48" s="2"/>
      <c r="D48" s="2"/>
      <c r="E48" s="2"/>
      <c r="M48" s="189"/>
      <c r="N48" s="190"/>
      <c r="O48" s="157"/>
      <c r="P48" s="157"/>
      <c r="Q48" s="157"/>
      <c r="R48" s="157"/>
      <c r="S48" s="157"/>
      <c r="T48" s="158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</row>
    <row r="49" spans="1:40" ht="15.75" customHeight="1">
      <c r="A49" s="2"/>
      <c r="C49" s="2"/>
      <c r="D49" s="2"/>
      <c r="E49" s="2"/>
      <c r="M49" s="2"/>
      <c r="N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</row>
    <row r="50" spans="1:40" ht="15.75" customHeight="1">
      <c r="A50" s="2"/>
      <c r="C50" s="2"/>
      <c r="D50" s="2"/>
      <c r="E50" s="2"/>
      <c r="F50" s="2"/>
      <c r="G50" s="2"/>
      <c r="H50" s="2"/>
      <c r="I50" s="2"/>
      <c r="M50" s="2"/>
      <c r="N50" s="2"/>
      <c r="O50" s="99"/>
      <c r="P50" s="99"/>
      <c r="Q50" s="99"/>
      <c r="R50" s="99"/>
      <c r="S50" s="99"/>
      <c r="T50" s="99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5.75" customHeight="1">
      <c r="A51" s="2"/>
      <c r="C51" s="2"/>
      <c r="D51" s="2"/>
      <c r="E51" s="2"/>
      <c r="F51" s="2"/>
      <c r="G51" s="2"/>
      <c r="H51" s="2"/>
      <c r="I51" s="2"/>
      <c r="M51" s="2"/>
      <c r="N51" s="2"/>
      <c r="O51" s="99"/>
      <c r="P51" s="99"/>
      <c r="Q51" s="99"/>
      <c r="R51" s="99"/>
      <c r="S51" s="99"/>
      <c r="T51" s="99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</row>
    <row r="52" spans="1:40" ht="15.75" customHeight="1">
      <c r="A52" s="2"/>
      <c r="C52" s="2"/>
      <c r="D52" s="2"/>
      <c r="E52" s="2"/>
      <c r="F52" s="2"/>
      <c r="G52" s="2"/>
      <c r="H52" s="2"/>
      <c r="I52" s="2"/>
      <c r="M52" s="2"/>
      <c r="N52" s="2"/>
      <c r="O52" s="99"/>
      <c r="P52" s="99"/>
      <c r="Q52" s="99"/>
      <c r="R52" s="99"/>
      <c r="S52" s="99"/>
      <c r="T52" s="99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5.75" customHeight="1">
      <c r="A53" s="2"/>
      <c r="C53" s="2"/>
      <c r="D53" s="2"/>
      <c r="E53" s="2"/>
      <c r="F53" s="2"/>
      <c r="G53" s="2"/>
      <c r="H53" s="2"/>
      <c r="I53" s="2"/>
      <c r="M53" s="2"/>
      <c r="N53" s="2"/>
      <c r="O53" s="99"/>
      <c r="P53" s="99"/>
      <c r="Q53" s="99"/>
      <c r="R53" s="99"/>
      <c r="S53" s="99"/>
      <c r="T53" s="99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</row>
    <row r="54" spans="1:40" ht="15.75" customHeight="1">
      <c r="A54" s="2"/>
      <c r="C54" s="2"/>
      <c r="D54" s="2"/>
      <c r="E54" s="2"/>
      <c r="F54" s="2"/>
      <c r="G54" s="2"/>
      <c r="H54" s="2"/>
      <c r="I54" s="2"/>
      <c r="M54" s="2"/>
      <c r="N54" s="2"/>
      <c r="O54" s="99"/>
      <c r="P54" s="99"/>
      <c r="Q54" s="99"/>
      <c r="R54" s="99"/>
      <c r="S54" s="99"/>
      <c r="T54" s="99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</row>
    <row r="55" spans="1:40" ht="15.75" customHeight="1">
      <c r="A55" s="2"/>
      <c r="C55" s="2"/>
      <c r="D55" s="2"/>
      <c r="E55" s="2"/>
      <c r="F55" s="2"/>
      <c r="G55" s="2"/>
      <c r="H55" s="2"/>
      <c r="I55" s="2"/>
      <c r="M55" s="2"/>
      <c r="N55" s="2"/>
      <c r="O55" s="99"/>
      <c r="P55" s="99"/>
      <c r="Q55" s="99"/>
      <c r="R55" s="99"/>
      <c r="S55" s="99"/>
      <c r="T55" s="99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</row>
    <row r="56" spans="1:40" ht="15.75" customHeight="1">
      <c r="C56" s="2"/>
      <c r="D56" s="2"/>
      <c r="E56" s="2"/>
      <c r="F56" s="2"/>
      <c r="G56" s="2"/>
      <c r="H56" s="2"/>
      <c r="I56" s="2"/>
      <c r="O56" s="27"/>
      <c r="P56" s="27"/>
      <c r="Q56" s="27"/>
      <c r="R56" s="27"/>
      <c r="S56" s="27"/>
      <c r="T56" s="27"/>
    </row>
    <row r="57" spans="1:40" ht="15.75" customHeight="1">
      <c r="C57" s="2"/>
      <c r="D57" s="2"/>
      <c r="E57" s="2"/>
      <c r="F57" s="2"/>
      <c r="G57" s="2"/>
      <c r="H57" s="2"/>
      <c r="I57" s="2"/>
      <c r="O57" s="27"/>
      <c r="P57" s="27"/>
      <c r="Q57" s="27"/>
      <c r="R57" s="27"/>
      <c r="S57" s="27"/>
      <c r="T57" s="27"/>
    </row>
    <row r="58" spans="1:40" ht="15.75" customHeight="1">
      <c r="A58" s="31"/>
      <c r="C58" s="2"/>
      <c r="D58" s="2"/>
      <c r="E58" s="2"/>
      <c r="F58" s="2"/>
      <c r="G58" s="2"/>
      <c r="H58" s="2"/>
      <c r="I58" s="2"/>
      <c r="O58" s="27"/>
      <c r="P58" s="27"/>
      <c r="Q58" s="27"/>
      <c r="R58" s="27"/>
      <c r="S58" s="27"/>
      <c r="T58" s="27"/>
    </row>
    <row r="59" spans="1:40" ht="15.75" customHeight="1">
      <c r="A59" s="191"/>
      <c r="C59" s="2"/>
      <c r="D59" s="2"/>
      <c r="E59" s="2"/>
      <c r="F59" s="2"/>
      <c r="G59" s="2"/>
      <c r="H59" s="2"/>
      <c r="I59" s="2"/>
      <c r="O59" s="27"/>
      <c r="P59" s="27"/>
      <c r="Q59" s="27"/>
      <c r="R59" s="27"/>
      <c r="S59" s="27"/>
      <c r="T59" s="27"/>
    </row>
    <row r="60" spans="1:40" ht="15.75" customHeight="1">
      <c r="A60" s="29"/>
      <c r="C60" s="2"/>
      <c r="D60" s="2"/>
      <c r="E60" s="2"/>
      <c r="F60" s="2"/>
      <c r="G60" s="2"/>
      <c r="H60" s="2"/>
      <c r="I60" s="2"/>
      <c r="O60" s="27"/>
      <c r="P60" s="27"/>
      <c r="Q60" s="27"/>
      <c r="R60" s="27"/>
      <c r="S60" s="27"/>
      <c r="T60" s="27"/>
    </row>
    <row r="61" spans="1:40" ht="15.75" customHeight="1">
      <c r="A61" s="29"/>
      <c r="C61" s="2"/>
      <c r="D61" s="2"/>
      <c r="E61" s="2"/>
      <c r="F61" s="2"/>
      <c r="G61" s="2"/>
      <c r="H61" s="2"/>
      <c r="I61" s="2"/>
      <c r="O61" s="27"/>
      <c r="P61" s="27"/>
      <c r="Q61" s="27"/>
      <c r="R61" s="27"/>
      <c r="S61" s="27"/>
      <c r="T61" s="27"/>
    </row>
    <row r="62" spans="1:40" ht="15.75" customHeight="1">
      <c r="A62" s="29"/>
      <c r="C62" s="2"/>
      <c r="D62" s="2"/>
      <c r="E62" s="2"/>
      <c r="F62" s="2"/>
      <c r="G62" s="2"/>
      <c r="H62" s="2"/>
      <c r="I62" s="2"/>
      <c r="O62" s="27"/>
      <c r="P62" s="27"/>
      <c r="Q62" s="27"/>
      <c r="R62" s="27"/>
      <c r="S62" s="27"/>
      <c r="T62" s="27"/>
    </row>
    <row r="63" spans="1:40" ht="15.75" customHeight="1">
      <c r="A63" s="38"/>
      <c r="C63" s="2"/>
      <c r="D63" s="2"/>
      <c r="E63" s="2"/>
      <c r="F63" s="2"/>
      <c r="G63" s="2"/>
      <c r="H63" s="2"/>
      <c r="I63" s="2"/>
      <c r="O63" s="27"/>
      <c r="P63" s="27"/>
      <c r="Q63" s="27"/>
      <c r="R63" s="27"/>
      <c r="S63" s="27"/>
      <c r="T63" s="27"/>
    </row>
    <row r="64" spans="1:40" ht="15.75" customHeight="1">
      <c r="C64" s="2"/>
      <c r="D64" s="2"/>
      <c r="E64" s="2"/>
      <c r="F64" s="2"/>
      <c r="G64" s="2"/>
      <c r="H64" s="2"/>
      <c r="I64" s="2"/>
      <c r="J64" s="27"/>
      <c r="K64" s="27"/>
      <c r="L64" s="27"/>
      <c r="M64" s="27"/>
    </row>
    <row r="65" spans="1:11" ht="15.75" customHeight="1">
      <c r="C65" s="2"/>
      <c r="D65" s="2"/>
      <c r="E65" s="2"/>
      <c r="F65" s="2"/>
      <c r="G65" s="2"/>
      <c r="H65" s="2"/>
      <c r="I65" s="2"/>
    </row>
    <row r="66" spans="1:11" ht="15.75" customHeight="1">
      <c r="C66" s="31"/>
      <c r="D66" s="18"/>
    </row>
    <row r="67" spans="1:11" ht="15.75" customHeight="1">
      <c r="C67" s="31"/>
      <c r="D67" s="18"/>
    </row>
    <row r="68" spans="1:11" ht="15.75" customHeight="1">
      <c r="A68" s="192"/>
      <c r="B68" s="28"/>
      <c r="C68" s="28"/>
      <c r="D68" s="28"/>
      <c r="E68" s="29"/>
      <c r="F68" s="28"/>
      <c r="G68" s="193"/>
      <c r="H68" s="194"/>
      <c r="I68" s="194"/>
      <c r="J68" s="194"/>
    </row>
    <row r="69" spans="1:11" ht="15.75" customHeight="1">
      <c r="A69" s="195"/>
      <c r="B69" s="196"/>
      <c r="C69" s="196"/>
      <c r="D69" s="197"/>
      <c r="E69" s="197"/>
      <c r="F69" s="198"/>
      <c r="G69" s="193"/>
      <c r="H69" s="199"/>
      <c r="I69" s="200"/>
      <c r="J69" s="200"/>
      <c r="K69" s="200"/>
    </row>
    <row r="70" spans="1:11" ht="15.75" customHeight="1">
      <c r="A70" s="195"/>
      <c r="B70" s="196"/>
      <c r="C70" s="196"/>
      <c r="D70" s="196"/>
      <c r="E70" s="196"/>
      <c r="F70" s="198"/>
      <c r="G70" s="193"/>
      <c r="H70" s="199"/>
      <c r="I70" s="201"/>
      <c r="J70" s="200"/>
      <c r="K70" s="200"/>
    </row>
    <row r="71" spans="1:11" ht="15.75" customHeight="1">
      <c r="A71" s="195"/>
      <c r="B71" s="196"/>
      <c r="C71" s="196"/>
      <c r="D71" s="196"/>
      <c r="E71" s="196"/>
      <c r="F71" s="198"/>
      <c r="H71" s="199"/>
      <c r="I71" s="200"/>
      <c r="J71" s="200"/>
      <c r="K71" s="200"/>
    </row>
    <row r="72" spans="1:11" ht="15.75" customHeight="1">
      <c r="C72" s="31"/>
      <c r="D72" s="18"/>
      <c r="H72" s="199"/>
      <c r="I72" s="201"/>
      <c r="J72" s="201"/>
      <c r="K72" s="200"/>
    </row>
    <row r="73" spans="1:11" ht="15.75" customHeight="1"/>
    <row r="74" spans="1:11" ht="15.75" customHeight="1"/>
    <row r="75" spans="1:11" ht="15.75" customHeight="1"/>
    <row r="76" spans="1:11" ht="15.75" customHeight="1"/>
    <row r="77" spans="1:11" ht="15.75" customHeight="1"/>
    <row r="78" spans="1:11" ht="15.75" customHeight="1"/>
    <row r="79" spans="1:11" ht="15.75" customHeight="1"/>
    <row r="80" spans="1:11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mergeCells count="42">
    <mergeCell ref="A2:D2"/>
    <mergeCell ref="F2:K2"/>
    <mergeCell ref="M2:R2"/>
    <mergeCell ref="M4:R5"/>
    <mergeCell ref="A5:D5"/>
    <mergeCell ref="N7:N9"/>
    <mergeCell ref="M11:R12"/>
    <mergeCell ref="A13:B13"/>
    <mergeCell ref="A14:B14"/>
    <mergeCell ref="N14:N16"/>
    <mergeCell ref="A16:B16"/>
    <mergeCell ref="A17:B17"/>
    <mergeCell ref="A18:B18"/>
    <mergeCell ref="M18:R19"/>
    <mergeCell ref="A29:B29"/>
    <mergeCell ref="A31:C31"/>
    <mergeCell ref="A36:B36"/>
    <mergeCell ref="A38:B38"/>
    <mergeCell ref="A19:B19"/>
    <mergeCell ref="A21:B21"/>
    <mergeCell ref="N21:N23"/>
    <mergeCell ref="A23:B23"/>
    <mergeCell ref="A25:B25"/>
    <mergeCell ref="M25:S26"/>
    <mergeCell ref="A27:B27"/>
    <mergeCell ref="R27:S27"/>
    <mergeCell ref="O28:P28"/>
    <mergeCell ref="Q28:Q35"/>
    <mergeCell ref="R28:S29"/>
    <mergeCell ref="O29:O31"/>
    <mergeCell ref="O32:P32"/>
    <mergeCell ref="O33:O35"/>
    <mergeCell ref="O41:O43"/>
    <mergeCell ref="O45:O47"/>
    <mergeCell ref="R33:S35"/>
    <mergeCell ref="M37:S38"/>
    <mergeCell ref="R39:S39"/>
    <mergeCell ref="O40:P40"/>
    <mergeCell ref="Q40:Q47"/>
    <mergeCell ref="R40:S41"/>
    <mergeCell ref="O44:P44"/>
    <mergeCell ref="R45:S47"/>
  </mergeCell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00"/>
  <sheetViews>
    <sheetView zoomScale="93" workbookViewId="0">
      <selection activeCell="H18" sqref="H18"/>
    </sheetView>
  </sheetViews>
  <sheetFormatPr baseColWidth="10" defaultColWidth="12.6640625" defaultRowHeight="15" customHeight="1"/>
  <cols>
    <col min="1" max="1" width="8.5" customWidth="1"/>
    <col min="2" max="2" width="20.1640625" customWidth="1"/>
    <col min="3" max="5" width="9.33203125" customWidth="1"/>
    <col min="6" max="6" width="9.6640625" customWidth="1"/>
    <col min="7" max="11" width="9.33203125" customWidth="1"/>
    <col min="12" max="12" width="25" customWidth="1"/>
    <col min="13" max="24" width="9.33203125" customWidth="1"/>
  </cols>
  <sheetData>
    <row r="1" spans="1:12" ht="16" thickBot="1">
      <c r="F1" s="18"/>
      <c r="G1" s="18"/>
      <c r="H1" s="18"/>
      <c r="I1" s="18"/>
      <c r="J1" s="18"/>
      <c r="K1" s="18"/>
      <c r="L1" s="18"/>
    </row>
    <row r="2" spans="1:12">
      <c r="A2" s="327"/>
      <c r="B2" s="328"/>
      <c r="C2" s="328"/>
      <c r="D2" s="328"/>
      <c r="E2" s="328"/>
      <c r="F2" s="329"/>
      <c r="G2" s="330"/>
      <c r="H2" s="18"/>
      <c r="I2" s="18"/>
      <c r="J2" s="18"/>
      <c r="K2" s="18"/>
      <c r="L2" s="18"/>
    </row>
    <row r="3" spans="1:12" ht="20" thickBot="1">
      <c r="A3" s="331"/>
      <c r="B3" s="377" t="s">
        <v>4</v>
      </c>
      <c r="C3" s="378"/>
      <c r="D3" s="378"/>
      <c r="E3" s="378"/>
      <c r="F3" s="378"/>
      <c r="G3" s="332"/>
      <c r="H3" s="24"/>
      <c r="I3" s="24"/>
      <c r="J3" s="24"/>
      <c r="K3" s="18"/>
    </row>
    <row r="4" spans="1:12">
      <c r="A4" s="331"/>
      <c r="B4" s="21" t="s">
        <v>7</v>
      </c>
      <c r="C4" s="21"/>
      <c r="D4" s="21"/>
      <c r="E4" s="21"/>
      <c r="F4" s="21"/>
      <c r="G4" s="332"/>
      <c r="H4" s="24"/>
      <c r="I4" s="24"/>
      <c r="J4" s="24"/>
      <c r="K4" s="18"/>
    </row>
    <row r="5" spans="1:12" ht="17">
      <c r="A5" s="331"/>
      <c r="B5" s="22" t="s">
        <v>12</v>
      </c>
      <c r="C5" s="23" t="s">
        <v>13</v>
      </c>
      <c r="D5" s="23" t="s">
        <v>14</v>
      </c>
      <c r="E5" s="23" t="s">
        <v>15</v>
      </c>
      <c r="F5" s="333" t="s">
        <v>16</v>
      </c>
      <c r="G5" s="332"/>
      <c r="H5" s="24"/>
      <c r="I5" s="24"/>
      <c r="J5" s="24"/>
      <c r="K5" s="18"/>
    </row>
    <row r="6" spans="1:12">
      <c r="A6" s="331"/>
      <c r="B6" s="22" t="s">
        <v>17</v>
      </c>
      <c r="C6" s="25">
        <v>0.7</v>
      </c>
      <c r="D6" s="25">
        <v>0.6</v>
      </c>
      <c r="E6" s="25">
        <v>0.08</v>
      </c>
      <c r="F6" s="334">
        <v>281</v>
      </c>
      <c r="G6" s="332"/>
      <c r="H6" s="24"/>
      <c r="I6" s="24"/>
      <c r="J6" s="24"/>
      <c r="K6" s="18"/>
    </row>
    <row r="7" spans="1:12">
      <c r="A7" s="331"/>
      <c r="B7" s="22" t="s">
        <v>18</v>
      </c>
      <c r="C7" s="25">
        <v>0.34</v>
      </c>
      <c r="D7" s="25">
        <v>3.5999999999999997E-2</v>
      </c>
      <c r="E7" s="25">
        <v>5.0000000000000001E-3</v>
      </c>
      <c r="F7" s="335">
        <v>266</v>
      </c>
      <c r="G7" s="332"/>
      <c r="H7" s="24"/>
      <c r="I7" s="24"/>
      <c r="J7" s="24"/>
      <c r="K7" s="26"/>
    </row>
    <row r="8" spans="1:12">
      <c r="A8" s="331"/>
      <c r="B8" s="22" t="s">
        <v>19</v>
      </c>
      <c r="C8" s="25">
        <v>0.23</v>
      </c>
      <c r="D8" s="25">
        <v>2E-3</v>
      </c>
      <c r="E8" s="25">
        <v>0</v>
      </c>
      <c r="F8" s="334">
        <v>233</v>
      </c>
      <c r="G8" s="332"/>
      <c r="H8" s="24"/>
      <c r="I8" s="24"/>
      <c r="J8" s="24"/>
      <c r="K8" s="18"/>
    </row>
    <row r="9" spans="1:12">
      <c r="A9" s="331"/>
      <c r="B9" s="22" t="s">
        <v>20</v>
      </c>
      <c r="C9" s="25">
        <v>0.3</v>
      </c>
      <c r="D9" s="25">
        <v>1E-3</v>
      </c>
      <c r="E9" s="25">
        <v>0</v>
      </c>
      <c r="F9" s="334">
        <v>233</v>
      </c>
      <c r="G9" s="332"/>
      <c r="H9" s="24"/>
      <c r="I9" s="24"/>
      <c r="J9" s="24"/>
      <c r="K9" s="18"/>
    </row>
    <row r="10" spans="1:12">
      <c r="A10" s="336"/>
      <c r="B10" s="326" t="s">
        <v>21</v>
      </c>
      <c r="C10" s="25">
        <v>0.15</v>
      </c>
      <c r="D10" s="25">
        <v>2E-3</v>
      </c>
      <c r="E10" s="25">
        <v>0</v>
      </c>
      <c r="F10" s="334">
        <v>202</v>
      </c>
      <c r="G10" s="332"/>
      <c r="H10" s="24"/>
      <c r="I10" s="24"/>
      <c r="J10" s="24"/>
      <c r="K10" s="18"/>
    </row>
    <row r="11" spans="1:12">
      <c r="A11" s="336"/>
      <c r="B11" s="326" t="s">
        <v>22</v>
      </c>
      <c r="C11" s="25">
        <v>0.22</v>
      </c>
      <c r="D11" s="25">
        <v>1E-3</v>
      </c>
      <c r="E11" s="25">
        <v>0</v>
      </c>
      <c r="F11" s="334">
        <v>202</v>
      </c>
      <c r="G11" s="332"/>
      <c r="H11" s="24"/>
      <c r="I11" s="24"/>
      <c r="J11" s="24"/>
      <c r="K11" s="18"/>
    </row>
    <row r="12" spans="1:12" ht="16" thickBot="1">
      <c r="A12" s="337"/>
      <c r="B12" s="338"/>
      <c r="C12" s="338"/>
      <c r="D12" s="338"/>
      <c r="E12" s="338"/>
      <c r="F12" s="339"/>
      <c r="G12" s="340"/>
      <c r="H12" s="24"/>
      <c r="I12" s="24"/>
      <c r="J12" s="24"/>
      <c r="K12" s="27"/>
    </row>
    <row r="13" spans="1:12">
      <c r="A13" s="26"/>
      <c r="B13" s="26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3:F3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C43"/>
  <sheetViews>
    <sheetView zoomScale="75" workbookViewId="0">
      <selection activeCell="W26" sqref="W26"/>
    </sheetView>
  </sheetViews>
  <sheetFormatPr baseColWidth="10" defaultColWidth="12.6640625" defaultRowHeight="15" customHeight="1"/>
  <cols>
    <col min="1" max="1" width="8.6640625" customWidth="1"/>
    <col min="2" max="2" width="9.33203125" customWidth="1"/>
    <col min="3" max="3" width="12.6640625" customWidth="1"/>
    <col min="4" max="4" width="10.1640625" customWidth="1"/>
    <col min="5" max="5" width="10.6640625" customWidth="1"/>
    <col min="6" max="6" width="11.1640625" customWidth="1"/>
    <col min="7" max="7" width="10.1640625" customWidth="1"/>
    <col min="8" max="8" width="2.1640625" customWidth="1"/>
    <col min="9" max="10" width="9.83203125" customWidth="1"/>
    <col min="11" max="11" width="9.33203125" customWidth="1"/>
    <col min="12" max="12" width="10.1640625" customWidth="1"/>
    <col min="13" max="13" width="9.6640625" customWidth="1"/>
    <col min="14" max="14" width="9.1640625" customWidth="1"/>
    <col min="15" max="15" width="14" customWidth="1"/>
    <col min="16" max="16" width="34.5" customWidth="1"/>
    <col min="17" max="17" width="13.6640625" customWidth="1"/>
    <col min="18" max="18" width="14.1640625" customWidth="1"/>
    <col min="19" max="20" width="13.6640625" customWidth="1"/>
    <col min="23" max="23" width="23.6640625" customWidth="1"/>
  </cols>
  <sheetData>
    <row r="1" spans="2:29" ht="15" customHeight="1">
      <c r="V1" s="28"/>
      <c r="W1" s="28"/>
      <c r="X1" s="28"/>
      <c r="Y1" s="29"/>
      <c r="Z1" s="28"/>
      <c r="AA1" s="28"/>
      <c r="AB1" s="28"/>
      <c r="AC1" s="28"/>
    </row>
    <row r="2" spans="2:29" ht="15" customHeight="1">
      <c r="C2" s="30"/>
      <c r="D2" s="30"/>
      <c r="E2" s="30"/>
      <c r="F2" s="30"/>
      <c r="R2" s="31"/>
    </row>
    <row r="3" spans="2:29">
      <c r="B3" s="32" t="s">
        <v>23</v>
      </c>
      <c r="C3" s="32">
        <v>2015</v>
      </c>
      <c r="D3" s="32">
        <v>2016</v>
      </c>
      <c r="E3" s="32">
        <v>2017</v>
      </c>
      <c r="F3" s="34">
        <v>2018</v>
      </c>
      <c r="G3" s="32">
        <v>2019</v>
      </c>
      <c r="H3" s="2"/>
      <c r="I3" s="36" t="s">
        <v>23</v>
      </c>
      <c r="J3" s="32">
        <v>2015</v>
      </c>
      <c r="K3" s="32">
        <v>2016</v>
      </c>
      <c r="L3" s="32">
        <v>2017</v>
      </c>
      <c r="M3" s="34">
        <v>2018</v>
      </c>
      <c r="N3" s="32">
        <v>2019</v>
      </c>
      <c r="P3" s="37"/>
      <c r="Q3" s="37"/>
      <c r="R3" s="37"/>
      <c r="S3" s="37"/>
      <c r="T3" s="37"/>
      <c r="U3" s="38"/>
      <c r="V3" s="38"/>
    </row>
    <row r="4" spans="2:29">
      <c r="B4" s="415" t="s">
        <v>11</v>
      </c>
      <c r="C4" s="386"/>
      <c r="D4" s="386"/>
      <c r="E4" s="386"/>
      <c r="F4" s="386"/>
      <c r="G4" s="359"/>
      <c r="H4" s="42"/>
      <c r="I4" s="416" t="s">
        <v>26</v>
      </c>
      <c r="J4" s="386"/>
      <c r="K4" s="386"/>
      <c r="L4" s="386"/>
      <c r="M4" s="386"/>
      <c r="N4" s="359"/>
      <c r="P4" s="44"/>
      <c r="Q4" s="46" t="s">
        <v>167</v>
      </c>
      <c r="R4" s="48"/>
      <c r="S4" s="46" t="s">
        <v>168</v>
      </c>
      <c r="U4" s="38"/>
      <c r="V4" s="38"/>
    </row>
    <row r="5" spans="2:29">
      <c r="B5" s="410" t="s">
        <v>33</v>
      </c>
      <c r="C5" s="386"/>
      <c r="D5" s="386"/>
      <c r="E5" s="386"/>
      <c r="F5" s="386"/>
      <c r="G5" s="359"/>
      <c r="H5" s="42"/>
      <c r="I5" s="417" t="s">
        <v>35</v>
      </c>
      <c r="J5" s="386"/>
      <c r="K5" s="386"/>
      <c r="L5" s="386"/>
      <c r="M5" s="386"/>
      <c r="N5" s="359"/>
      <c r="P5" s="53" t="s">
        <v>36</v>
      </c>
      <c r="Q5" s="55">
        <f>10.2/1000</f>
        <v>1.0199999999999999E-2</v>
      </c>
      <c r="R5" s="56" t="s">
        <v>38</v>
      </c>
      <c r="S5" s="57">
        <v>12.9</v>
      </c>
      <c r="U5" s="38"/>
      <c r="V5" s="38"/>
    </row>
    <row r="6" spans="2:29">
      <c r="B6" s="58" t="s">
        <v>8</v>
      </c>
      <c r="C6" s="61">
        <f t="shared" ref="C6:G6" si="0">(Q12*Q28)+(Q13*Q27)</f>
        <v>15859879.050490465</v>
      </c>
      <c r="D6" s="61">
        <f t="shared" si="0"/>
        <v>17299319.674124397</v>
      </c>
      <c r="E6" s="61">
        <f t="shared" si="0"/>
        <v>20081139.288156748</v>
      </c>
      <c r="F6" s="61">
        <f t="shared" si="0"/>
        <v>24073366.280243441</v>
      </c>
      <c r="G6" s="61">
        <f t="shared" si="0"/>
        <v>21474146.79403086</v>
      </c>
      <c r="H6" s="42"/>
      <c r="I6" s="63" t="s">
        <v>8</v>
      </c>
      <c r="J6" s="63">
        <f t="shared" ref="J6:N6" si="1">(Q17*Q28)+(Q18*Q27)</f>
        <v>1966100.8945478103</v>
      </c>
      <c r="K6" s="63">
        <f t="shared" si="1"/>
        <v>3225720.7657011263</v>
      </c>
      <c r="L6" s="63">
        <f t="shared" si="1"/>
        <v>3611496.7671627505</v>
      </c>
      <c r="M6" s="63">
        <f t="shared" si="1"/>
        <v>5901871.8547087032</v>
      </c>
      <c r="N6" s="63">
        <f t="shared" si="1"/>
        <v>2836572.8163482356</v>
      </c>
      <c r="P6" s="65" t="s">
        <v>41</v>
      </c>
      <c r="Q6" s="67">
        <f>11/1000</f>
        <v>1.0999999999999999E-2</v>
      </c>
      <c r="R6" s="53" t="s">
        <v>36</v>
      </c>
      <c r="S6" s="68">
        <v>11.9</v>
      </c>
      <c r="U6" s="38"/>
      <c r="V6" s="38"/>
      <c r="W6" s="70"/>
      <c r="X6" s="70"/>
      <c r="Y6" s="70"/>
      <c r="Z6" s="70"/>
      <c r="AA6" s="70"/>
      <c r="AB6" s="70"/>
      <c r="AC6" s="70"/>
    </row>
    <row r="7" spans="2:29">
      <c r="B7" s="58"/>
      <c r="C7" s="61"/>
      <c r="D7" s="61"/>
      <c r="E7" s="61"/>
      <c r="F7" s="61"/>
      <c r="G7" s="61"/>
      <c r="H7" s="42"/>
      <c r="I7" s="63"/>
      <c r="J7" s="63"/>
      <c r="K7" s="63"/>
      <c r="L7" s="63"/>
      <c r="M7" s="63"/>
      <c r="N7" s="63"/>
      <c r="P7" s="72"/>
      <c r="Q7" s="72"/>
      <c r="R7" s="65" t="s">
        <v>41</v>
      </c>
      <c r="S7" s="73">
        <v>11.3</v>
      </c>
      <c r="U7" s="38"/>
      <c r="V7" s="38"/>
      <c r="W7" s="406"/>
      <c r="X7" s="369"/>
      <c r="Y7" s="70"/>
      <c r="Z7" s="70"/>
      <c r="AA7" s="70"/>
      <c r="AB7" s="70"/>
      <c r="AC7" s="70"/>
    </row>
    <row r="8" spans="2:29">
      <c r="B8" s="410" t="s">
        <v>43</v>
      </c>
      <c r="C8" s="386"/>
      <c r="D8" s="386"/>
      <c r="E8" s="386"/>
      <c r="F8" s="386"/>
      <c r="G8" s="359"/>
      <c r="H8" s="42"/>
      <c r="I8" s="407" t="s">
        <v>44</v>
      </c>
      <c r="J8" s="386"/>
      <c r="K8" s="386"/>
      <c r="L8" s="386"/>
      <c r="M8" s="386"/>
      <c r="N8" s="359"/>
      <c r="V8" s="38"/>
      <c r="W8" s="78"/>
      <c r="X8" s="80"/>
      <c r="Y8" s="70"/>
      <c r="Z8" s="70"/>
      <c r="AA8" s="70"/>
      <c r="AB8" s="70"/>
      <c r="AC8" s="70"/>
    </row>
    <row r="9" spans="2:29">
      <c r="B9" s="58" t="s">
        <v>8</v>
      </c>
      <c r="C9" s="61">
        <f>Q35*'forutsetninger 1'!G6</f>
        <v>670932.29013503995</v>
      </c>
      <c r="D9" s="61">
        <f>R35*'forutsetninger 1'!H6</f>
        <v>756867.57895349222</v>
      </c>
      <c r="E9" s="61">
        <f>S35*'forutsetninger 1'!I6</f>
        <v>902721.46768198663</v>
      </c>
      <c r="F9" s="61">
        <f>T35*'forutsetninger 1'!J6</f>
        <v>1306156.5621351937</v>
      </c>
      <c r="G9" s="61">
        <f>U35*'forutsetninger 1'!K6</f>
        <v>1230643.7039228929</v>
      </c>
      <c r="H9" s="42"/>
      <c r="I9" s="63" t="s">
        <v>8</v>
      </c>
      <c r="J9" s="87">
        <f>Q35*'forutsetninger 1'!G9</f>
        <v>77505.115243919994</v>
      </c>
      <c r="K9" s="87">
        <f>R35*'forutsetninger 1'!H9</f>
        <v>96419.720315112048</v>
      </c>
      <c r="L9" s="87">
        <f>S35*'forutsetninger 1'!I9</f>
        <v>110958.53321323745</v>
      </c>
      <c r="M9" s="87">
        <f>T35*'forutsetninger 1'!J9</f>
        <v>220244.7035033904</v>
      </c>
      <c r="N9" s="87">
        <f>U35*'forutsetninger 1'!K9</f>
        <v>112214.02625824</v>
      </c>
      <c r="V9" s="38"/>
      <c r="W9" s="78"/>
      <c r="X9" s="80"/>
      <c r="Y9" s="70"/>
      <c r="Z9" s="70"/>
      <c r="AA9" s="70"/>
      <c r="AB9" s="70"/>
      <c r="AC9" s="70"/>
    </row>
    <row r="10" spans="2:29">
      <c r="B10" s="58"/>
      <c r="C10" s="61"/>
      <c r="D10" s="61"/>
      <c r="E10" s="61"/>
      <c r="F10" s="61"/>
      <c r="G10" s="61"/>
      <c r="H10" s="42"/>
      <c r="I10" s="63"/>
      <c r="J10" s="87"/>
      <c r="K10" s="87"/>
      <c r="L10" s="87"/>
      <c r="M10" s="87"/>
      <c r="N10" s="87"/>
      <c r="P10" s="408" t="s">
        <v>49</v>
      </c>
      <c r="Q10" s="375"/>
      <c r="R10" s="375"/>
      <c r="S10" s="375"/>
      <c r="T10" s="375"/>
      <c r="U10" s="347"/>
      <c r="V10" s="38"/>
      <c r="W10" s="78"/>
      <c r="X10" s="80"/>
      <c r="Y10" s="70"/>
      <c r="Z10" s="70"/>
      <c r="AA10" s="70"/>
      <c r="AB10" s="70"/>
      <c r="AC10" s="70"/>
    </row>
    <row r="11" spans="2:29">
      <c r="B11" s="410" t="s">
        <v>53</v>
      </c>
      <c r="C11" s="386"/>
      <c r="D11" s="386"/>
      <c r="E11" s="386"/>
      <c r="F11" s="386"/>
      <c r="G11" s="359"/>
      <c r="H11" s="42"/>
      <c r="I11" s="409" t="s">
        <v>54</v>
      </c>
      <c r="J11" s="386"/>
      <c r="K11" s="386"/>
      <c r="L11" s="386"/>
      <c r="M11" s="386"/>
      <c r="N11" s="359"/>
      <c r="P11" s="348"/>
      <c r="Q11" s="369"/>
      <c r="R11" s="369"/>
      <c r="S11" s="369"/>
      <c r="T11" s="369"/>
      <c r="U11" s="349"/>
      <c r="V11" s="38"/>
      <c r="W11" s="97"/>
      <c r="X11" s="80"/>
      <c r="Y11" s="98"/>
      <c r="Z11" s="98"/>
      <c r="AA11" s="98"/>
      <c r="AB11" s="98"/>
      <c r="AC11" s="98"/>
    </row>
    <row r="12" spans="2:29">
      <c r="B12" s="58" t="s">
        <v>8</v>
      </c>
      <c r="C12" s="61">
        <f t="shared" ref="C12:G12" si="2">C6-C9</f>
        <v>15188946.760355424</v>
      </c>
      <c r="D12" s="61">
        <f t="shared" si="2"/>
        <v>16542452.095170906</v>
      </c>
      <c r="E12" s="61">
        <f t="shared" si="2"/>
        <v>19178417.820474762</v>
      </c>
      <c r="F12" s="61">
        <f t="shared" si="2"/>
        <v>22767209.718108248</v>
      </c>
      <c r="G12" s="61">
        <f t="shared" si="2"/>
        <v>20243503.090107966</v>
      </c>
      <c r="H12" s="42"/>
      <c r="I12" s="63" t="s">
        <v>8</v>
      </c>
      <c r="J12" s="87">
        <f t="shared" ref="J12:N12" si="3">J6-J9</f>
        <v>1888595.7793038904</v>
      </c>
      <c r="K12" s="87">
        <f t="shared" si="3"/>
        <v>3129301.045386014</v>
      </c>
      <c r="L12" s="87">
        <f t="shared" si="3"/>
        <v>3500538.2339495132</v>
      </c>
      <c r="M12" s="87">
        <f t="shared" si="3"/>
        <v>5681627.1512053125</v>
      </c>
      <c r="N12" s="87">
        <f t="shared" si="3"/>
        <v>2724358.7900899956</v>
      </c>
      <c r="P12" s="104" t="s">
        <v>58</v>
      </c>
      <c r="Q12" s="106">
        <f>'forutsetninger 1'!G22/$Q$6</f>
        <v>9564739.7677212656</v>
      </c>
      <c r="R12" s="106">
        <f>'forutsetninger 1'!H22/$Q$6</f>
        <v>10303175.437191296</v>
      </c>
      <c r="S12" s="106">
        <f>'forutsetninger 1'!I22/$Q$6</f>
        <v>12122980.216259511</v>
      </c>
      <c r="T12" s="106">
        <f>'forutsetninger 1'!J22/$Q$6</f>
        <v>13515343.532238686</v>
      </c>
      <c r="U12" s="106">
        <f>'forutsetninger 1'!K22/$Q$6</f>
        <v>10218038.285943132</v>
      </c>
      <c r="V12" s="38"/>
      <c r="W12" s="97"/>
      <c r="X12" s="80"/>
      <c r="Y12" s="98"/>
      <c r="Z12" s="98"/>
      <c r="AA12" s="98"/>
      <c r="AB12" s="98"/>
      <c r="AC12" s="98"/>
    </row>
    <row r="13" spans="2:29">
      <c r="B13" s="58"/>
      <c r="C13" s="61"/>
      <c r="D13" s="61"/>
      <c r="E13" s="61"/>
      <c r="F13" s="61"/>
      <c r="G13" s="61"/>
      <c r="H13" s="42"/>
      <c r="I13" s="63"/>
      <c r="J13" s="87"/>
      <c r="K13" s="87"/>
      <c r="L13" s="87"/>
      <c r="M13" s="87"/>
      <c r="N13" s="87"/>
      <c r="P13" s="104" t="s">
        <v>63</v>
      </c>
      <c r="Q13" s="106">
        <f>'forutsetninger 1'!G22/$S$7</f>
        <v>9310.8086234454786</v>
      </c>
      <c r="R13" s="106">
        <f>'forutsetninger 1'!H22/$S$7</f>
        <v>10029.63980611542</v>
      </c>
      <c r="S13" s="106">
        <f>'forutsetninger 1'!I22/$S$7</f>
        <v>11801.131183969434</v>
      </c>
      <c r="T13" s="106">
        <f>'forutsetninger 1'!J22/$S$7</f>
        <v>13156.529102179249</v>
      </c>
      <c r="U13" s="106">
        <f>'forutsetninger 1'!K22/$S$7</f>
        <v>9946.7629332189772</v>
      </c>
      <c r="V13" s="38"/>
      <c r="W13" s="98"/>
      <c r="X13" s="98"/>
      <c r="Y13" s="98"/>
      <c r="Z13" s="98"/>
      <c r="AA13" s="98"/>
      <c r="AB13" s="98"/>
      <c r="AC13" s="98"/>
    </row>
    <row r="14" spans="2:29">
      <c r="B14" s="109"/>
      <c r="C14" s="109"/>
      <c r="D14" s="109"/>
      <c r="E14" s="109"/>
      <c r="F14" s="109"/>
      <c r="G14" s="109"/>
      <c r="H14" s="42"/>
      <c r="I14" s="111"/>
      <c r="J14" s="109"/>
      <c r="K14" s="109"/>
      <c r="L14" s="109"/>
      <c r="M14" s="109"/>
      <c r="N14" s="109"/>
      <c r="P14" s="114" t="s">
        <v>65</v>
      </c>
      <c r="Q14" s="115">
        <f>'forutsetninger 1'!G23/$Q$5</f>
        <v>4467933.2584722592</v>
      </c>
      <c r="R14" s="115">
        <f>'forutsetninger 1'!H23/$Q$5</f>
        <v>5735777.6568627451</v>
      </c>
      <c r="S14" s="115">
        <f>'forutsetninger 1'!I23/$Q$5</f>
        <v>5776696.333333333</v>
      </c>
      <c r="T14" s="115">
        <f>'forutsetninger 1'!J23/$Q$5</f>
        <v>5375780.6078431373</v>
      </c>
      <c r="U14" s="115">
        <f>'forutsetninger 1'!K23/$Q$5</f>
        <v>5276771.2450980395</v>
      </c>
      <c r="V14" s="38"/>
      <c r="W14" s="98"/>
      <c r="X14" s="98"/>
      <c r="Y14" s="98"/>
      <c r="Z14" s="98"/>
      <c r="AA14" s="98"/>
      <c r="AB14" s="98"/>
      <c r="AC14" s="98"/>
    </row>
    <row r="15" spans="2:29">
      <c r="B15" s="418" t="s">
        <v>34</v>
      </c>
      <c r="C15" s="386"/>
      <c r="D15" s="386"/>
      <c r="E15" s="386"/>
      <c r="F15" s="386"/>
      <c r="G15" s="359"/>
      <c r="H15" s="42"/>
      <c r="I15" s="419" t="s">
        <v>57</v>
      </c>
      <c r="J15" s="386"/>
      <c r="K15" s="386"/>
      <c r="L15" s="386"/>
      <c r="M15" s="386"/>
      <c r="N15" s="359"/>
      <c r="P15" s="114" t="s">
        <v>69</v>
      </c>
      <c r="Q15" s="115">
        <f>'forutsetninger 1'!G23/$S$6</f>
        <v>3829.6570786905072</v>
      </c>
      <c r="R15" s="115">
        <f>'forutsetninger 1'!H23/$S$6</f>
        <v>4916.3808487394945</v>
      </c>
      <c r="S15" s="115">
        <f>'forutsetninger 1'!I23/$S$6</f>
        <v>4951.4539999999997</v>
      </c>
      <c r="T15" s="115">
        <f>'forutsetninger 1'!J23/$S$6</f>
        <v>4607.811949579831</v>
      </c>
      <c r="U15" s="115">
        <f>'forutsetninger 1'!K23/$S$6</f>
        <v>4522.9467815126045</v>
      </c>
      <c r="V15" s="38"/>
      <c r="W15" s="98"/>
      <c r="X15" s="98"/>
      <c r="Y15" s="98"/>
      <c r="Z15" s="98"/>
      <c r="AA15" s="98"/>
      <c r="AB15" s="98"/>
      <c r="AC15" s="98"/>
    </row>
    <row r="16" spans="2:29">
      <c r="B16" s="411" t="s">
        <v>71</v>
      </c>
      <c r="C16" s="386"/>
      <c r="D16" s="386"/>
      <c r="E16" s="386"/>
      <c r="F16" s="386"/>
      <c r="G16" s="359"/>
      <c r="H16" s="42"/>
      <c r="I16" s="412" t="s">
        <v>38</v>
      </c>
      <c r="J16" s="386"/>
      <c r="K16" s="386"/>
      <c r="L16" s="386"/>
      <c r="M16" s="386"/>
      <c r="N16" s="359"/>
      <c r="P16" s="127" t="s">
        <v>73</v>
      </c>
      <c r="Q16" s="128">
        <f>'forutsetninger 1'!G24/$S$5</f>
        <v>7807.3983995264589</v>
      </c>
      <c r="R16" s="128">
        <f>'forutsetninger 1'!H24/$S$5</f>
        <v>13859.318255813954</v>
      </c>
      <c r="S16" s="128">
        <f>'forutsetninger 1'!I24/$S$5</f>
        <v>14478.650651162789</v>
      </c>
      <c r="T16" s="128">
        <f>'forutsetninger 1'!J24/$S$5</f>
        <v>13925.377744186046</v>
      </c>
      <c r="U16" s="128">
        <f>'forutsetninger 1'!K24/$S$5</f>
        <v>11594.711441860465</v>
      </c>
      <c r="V16" s="98"/>
      <c r="W16" s="98"/>
      <c r="X16" s="98"/>
      <c r="Y16" s="98"/>
      <c r="Z16" s="98"/>
      <c r="AA16" s="98"/>
      <c r="AB16" s="98"/>
      <c r="AC16" s="98"/>
    </row>
    <row r="17" spans="1:29">
      <c r="B17" s="64" t="s">
        <v>8</v>
      </c>
      <c r="C17" s="64">
        <f t="shared" ref="C17:G17" si="4">(Q14*Q28)+(Q15*Q27)</f>
        <v>7372166.4696208015</v>
      </c>
      <c r="D17" s="64">
        <f t="shared" si="4"/>
        <v>9596931.5446073133</v>
      </c>
      <c r="E17" s="64">
        <f t="shared" si="4"/>
        <v>9531929.3537059724</v>
      </c>
      <c r="F17" s="64">
        <f t="shared" si="4"/>
        <v>9478167.1940478962</v>
      </c>
      <c r="G17" s="64">
        <f t="shared" si="4"/>
        <v>10937303.066475578</v>
      </c>
      <c r="H17" s="42"/>
      <c r="I17" s="103" t="s">
        <v>8</v>
      </c>
      <c r="J17" s="103">
        <f t="shared" ref="J17:N17" si="5">Q19*Q27</f>
        <v>1522006.3126144861</v>
      </c>
      <c r="K17" s="103">
        <f t="shared" si="5"/>
        <v>1551480.9315644477</v>
      </c>
      <c r="L17" s="103">
        <f t="shared" si="5"/>
        <v>1701384.2552625514</v>
      </c>
      <c r="M17" s="103">
        <f t="shared" si="5"/>
        <v>4895288.1112208925</v>
      </c>
      <c r="N17" s="103">
        <f t="shared" si="5"/>
        <v>7709692.9568300154</v>
      </c>
      <c r="P17" s="133" t="s">
        <v>76</v>
      </c>
      <c r="Q17" s="135">
        <f>'forutsetninger 1'!G25/$Q$5</f>
        <v>1191563.9198410641</v>
      </c>
      <c r="R17" s="135">
        <f>'forutsetninger 1'!H25/$Q$5</f>
        <v>1927909.6666666667</v>
      </c>
      <c r="S17" s="135">
        <f>'forutsetninger 1'!I25/$Q$5</f>
        <v>2188698.5686274511</v>
      </c>
      <c r="T17" s="135">
        <f>'forutsetninger 1'!J25/$Q$5</f>
        <v>3347394.8725490193</v>
      </c>
      <c r="U17" s="135">
        <f>'forutsetninger 1'!K25/$Q$5</f>
        <v>1368522.5490196079</v>
      </c>
      <c r="V17" s="98"/>
      <c r="W17" s="98"/>
      <c r="X17" s="98"/>
      <c r="Y17" s="98"/>
      <c r="Z17" s="98"/>
      <c r="AA17" s="98"/>
      <c r="AB17" s="98"/>
      <c r="AC17" s="98"/>
    </row>
    <row r="18" spans="1:29">
      <c r="B18" s="64"/>
      <c r="C18" s="64"/>
      <c r="D18" s="64"/>
      <c r="E18" s="64"/>
      <c r="F18" s="64"/>
      <c r="G18" s="64"/>
      <c r="H18" s="42"/>
      <c r="I18" s="103"/>
      <c r="J18" s="103"/>
      <c r="K18" s="103"/>
      <c r="L18" s="103"/>
      <c r="M18" s="103"/>
      <c r="N18" s="103"/>
      <c r="P18" s="133" t="s">
        <v>78</v>
      </c>
      <c r="Q18" s="135">
        <f>'forutsetninger 1'!G25/$S$6</f>
        <v>1021.3405027209121</v>
      </c>
      <c r="R18" s="135">
        <f>'forutsetninger 1'!H25/$S$6</f>
        <v>1652.4939999999999</v>
      </c>
      <c r="S18" s="135">
        <f>'forutsetninger 1'!I25/$S$6</f>
        <v>1876.027344537815</v>
      </c>
      <c r="T18" s="135">
        <f>'forutsetninger 1'!J25/$S$6</f>
        <v>2869.1956050420163</v>
      </c>
      <c r="U18" s="135">
        <f>'forutsetninger 1'!K25/$S$6</f>
        <v>1173.0193277310925</v>
      </c>
      <c r="V18" s="70"/>
      <c r="W18" s="70"/>
      <c r="X18" s="70"/>
      <c r="Y18" s="70"/>
      <c r="Z18" s="70"/>
      <c r="AA18" s="70"/>
      <c r="AB18" s="70"/>
      <c r="AC18" s="70"/>
    </row>
    <row r="19" spans="1:29">
      <c r="B19" s="414" t="s">
        <v>44</v>
      </c>
      <c r="C19" s="386"/>
      <c r="D19" s="386"/>
      <c r="E19" s="386"/>
      <c r="F19" s="386"/>
      <c r="G19" s="359"/>
      <c r="H19" s="42"/>
      <c r="I19" s="413" t="s">
        <v>44</v>
      </c>
      <c r="J19" s="386"/>
      <c r="K19" s="386"/>
      <c r="L19" s="386"/>
      <c r="M19" s="386"/>
      <c r="N19" s="359"/>
      <c r="P19" s="141" t="s">
        <v>79</v>
      </c>
      <c r="Q19" s="143">
        <f>'forutsetninger 1'!G26/$S$5</f>
        <v>21736.736826827851</v>
      </c>
      <c r="R19" s="143">
        <f>'forutsetninger 1'!H26/$S$5</f>
        <v>30804.68895348837</v>
      </c>
      <c r="S19" s="143">
        <f>'forutsetninger 1'!I26/$S$5</f>
        <v>30984.871565891473</v>
      </c>
      <c r="T19" s="143">
        <f>'forutsetninger 1'!J26/$S$5</f>
        <v>31519.221480620148</v>
      </c>
      <c r="U19" s="143">
        <f>'forutsetninger 1'!K26/$S$5</f>
        <v>31064.82434108527</v>
      </c>
      <c r="V19" s="70"/>
      <c r="W19" s="70"/>
      <c r="X19" s="70"/>
      <c r="Y19" s="70"/>
      <c r="Z19" s="70"/>
      <c r="AA19" s="70"/>
      <c r="AB19" s="70"/>
      <c r="AC19" s="70"/>
    </row>
    <row r="20" spans="1:29">
      <c r="B20" s="64" t="s">
        <v>8</v>
      </c>
      <c r="C20" s="147">
        <f>Q35*'forutsetninger 1'!G7</f>
        <v>290616.11914720002</v>
      </c>
      <c r="D20" s="147">
        <f>R35*'forutsetninger 1'!H7</f>
        <v>286860.99096156197</v>
      </c>
      <c r="E20" s="147">
        <f>S35*'forutsetninger 1'!I7</f>
        <v>292856.11145938339</v>
      </c>
      <c r="F20" s="147">
        <f>T35*'forutsetninger 1'!J7</f>
        <v>353704.07470693439</v>
      </c>
      <c r="G20" s="147">
        <f>U35*'forutsetninger 1'!K7</f>
        <v>432676.64641722559</v>
      </c>
      <c r="H20" s="42"/>
      <c r="I20" s="103" t="s">
        <v>8</v>
      </c>
      <c r="J20" s="149">
        <f>Q35*'forutsetninger 1'!G10</f>
        <v>1788121.01681004</v>
      </c>
      <c r="K20" s="149">
        <f>R35*'forutsetninger 1'!H10</f>
        <v>1948433.3429905577</v>
      </c>
      <c r="L20" s="149">
        <f>S35*'forutsetninger 1'!I10</f>
        <v>1986616.2886688437</v>
      </c>
      <c r="M20" s="149">
        <f>T35*'forutsetninger 1'!J10</f>
        <v>2622790.1689722193</v>
      </c>
      <c r="N20" s="149">
        <f>U35*'forutsetninger 1'!K10</f>
        <v>3221466.565467712</v>
      </c>
      <c r="P20" s="150" t="s">
        <v>83</v>
      </c>
      <c r="Q20" s="153">
        <f>'forutsetninger 1'!G27/$S$5</f>
        <v>1954.1272410613665</v>
      </c>
      <c r="R20" s="153">
        <f>'forutsetninger 1'!H27/$S$5</f>
        <v>2967.653393891791</v>
      </c>
      <c r="S20" s="153">
        <f>'forutsetninger 1'!I27/$S$5</f>
        <v>2237.1684082915003</v>
      </c>
      <c r="T20" s="153">
        <f>'forutsetninger 1'!J27/$S$5</f>
        <v>3520.7856890801258</v>
      </c>
      <c r="U20" s="153">
        <f>'forutsetninger 1'!K27/$S$5</f>
        <v>4103.1062561895978</v>
      </c>
      <c r="V20" s="70"/>
      <c r="W20" s="70"/>
      <c r="X20" s="70"/>
      <c r="Y20" s="70"/>
      <c r="Z20" s="70"/>
      <c r="AA20" s="70"/>
      <c r="AB20" s="70"/>
      <c r="AC20" s="70"/>
    </row>
    <row r="21" spans="1:29">
      <c r="B21" s="64"/>
      <c r="C21" s="147"/>
      <c r="D21" s="147"/>
      <c r="E21" s="147"/>
      <c r="F21" s="147"/>
      <c r="G21" s="147"/>
      <c r="H21" s="42"/>
      <c r="I21" s="103"/>
      <c r="J21" s="149"/>
      <c r="K21" s="149"/>
      <c r="L21" s="149"/>
      <c r="M21" s="149"/>
      <c r="N21" s="149"/>
      <c r="P21" s="155"/>
      <c r="Q21" s="157"/>
      <c r="R21" s="157"/>
      <c r="S21" s="157"/>
      <c r="T21" s="157"/>
      <c r="U21" s="158"/>
      <c r="V21" s="70"/>
      <c r="Y21" s="70"/>
      <c r="Z21" s="70"/>
      <c r="AA21" s="70"/>
      <c r="AB21" s="70"/>
      <c r="AC21" s="70"/>
    </row>
    <row r="22" spans="1:29">
      <c r="A22" s="159"/>
      <c r="B22" s="404" t="s">
        <v>54</v>
      </c>
      <c r="C22" s="386"/>
      <c r="D22" s="386"/>
      <c r="E22" s="386"/>
      <c r="F22" s="386"/>
      <c r="G22" s="359"/>
      <c r="H22" s="42"/>
      <c r="I22" s="405" t="s">
        <v>54</v>
      </c>
      <c r="J22" s="386"/>
      <c r="K22" s="386"/>
      <c r="L22" s="386"/>
      <c r="M22" s="386"/>
      <c r="N22" s="359"/>
      <c r="V22" s="70"/>
      <c r="Z22" s="38"/>
    </row>
    <row r="23" spans="1:29" ht="16" thickBot="1">
      <c r="B23" s="64" t="s">
        <v>8</v>
      </c>
      <c r="C23" s="147">
        <f t="shared" ref="C23:G23" si="6">C17-C20</f>
        <v>7081550.3504736014</v>
      </c>
      <c r="D23" s="147">
        <f t="shared" si="6"/>
        <v>9310070.5536457505</v>
      </c>
      <c r="E23" s="147">
        <f t="shared" si="6"/>
        <v>9239073.2422465887</v>
      </c>
      <c r="F23" s="147">
        <f t="shared" si="6"/>
        <v>9124463.1193409618</v>
      </c>
      <c r="G23" s="147">
        <f t="shared" si="6"/>
        <v>10504626.420058353</v>
      </c>
      <c r="H23" s="42"/>
      <c r="I23" s="103" t="s">
        <v>8</v>
      </c>
      <c r="J23" s="149">
        <f t="shared" ref="J23:N23" si="7">J17-J20</f>
        <v>-266114.7041955539</v>
      </c>
      <c r="K23" s="149">
        <f t="shared" si="7"/>
        <v>-396952.41142610996</v>
      </c>
      <c r="L23" s="149">
        <f t="shared" si="7"/>
        <v>-285232.03340629232</v>
      </c>
      <c r="M23" s="149">
        <f t="shared" si="7"/>
        <v>2272497.9422486732</v>
      </c>
      <c r="N23" s="149">
        <f t="shared" si="7"/>
        <v>4488226.3913623039</v>
      </c>
      <c r="V23" s="70"/>
      <c r="Z23" s="70"/>
    </row>
    <row r="24" spans="1:29">
      <c r="B24" s="64"/>
      <c r="C24" s="147"/>
      <c r="D24" s="147"/>
      <c r="E24" s="147"/>
      <c r="F24" s="147"/>
      <c r="G24" s="147"/>
      <c r="H24" s="42"/>
      <c r="I24" s="103"/>
      <c r="J24" s="149"/>
      <c r="K24" s="149"/>
      <c r="L24" s="149"/>
      <c r="M24" s="149"/>
      <c r="N24" s="149"/>
      <c r="P24" s="379" t="s">
        <v>88</v>
      </c>
      <c r="Q24" s="380"/>
      <c r="R24" s="380"/>
      <c r="S24" s="380"/>
      <c r="T24" s="380"/>
      <c r="U24" s="381"/>
      <c r="V24" s="70"/>
      <c r="Z24" s="163"/>
    </row>
    <row r="25" spans="1:29">
      <c r="B25" s="109"/>
      <c r="C25" s="109"/>
      <c r="D25" s="109"/>
      <c r="E25" s="109"/>
      <c r="F25" s="109"/>
      <c r="G25" s="109"/>
      <c r="H25" s="42"/>
      <c r="I25" s="109"/>
      <c r="J25" s="109"/>
      <c r="K25" s="109"/>
      <c r="L25" s="109"/>
      <c r="M25" s="109"/>
      <c r="N25" s="109"/>
      <c r="P25" s="382"/>
      <c r="Q25" s="383"/>
      <c r="R25" s="383"/>
      <c r="S25" s="383"/>
      <c r="T25" s="383"/>
      <c r="U25" s="384"/>
      <c r="V25" s="70"/>
      <c r="W25" s="70"/>
      <c r="X25" s="70"/>
      <c r="Z25" s="163"/>
    </row>
    <row r="26" spans="1:29">
      <c r="B26" s="385" t="s">
        <v>47</v>
      </c>
      <c r="C26" s="386"/>
      <c r="D26" s="386"/>
      <c r="E26" s="386"/>
      <c r="F26" s="386"/>
      <c r="G26" s="359"/>
      <c r="H26" s="42"/>
      <c r="I26" s="387" t="s">
        <v>62</v>
      </c>
      <c r="J26" s="386"/>
      <c r="K26" s="386"/>
      <c r="L26" s="386"/>
      <c r="M26" s="386"/>
      <c r="N26" s="359"/>
      <c r="P26" s="316"/>
      <c r="Q26" s="164">
        <v>2015</v>
      </c>
      <c r="R26" s="164">
        <v>2016</v>
      </c>
      <c r="S26" s="164">
        <v>2017</v>
      </c>
      <c r="T26" s="164">
        <v>2018</v>
      </c>
      <c r="U26" s="317">
        <v>2019</v>
      </c>
      <c r="V26" s="70"/>
      <c r="W26" s="38"/>
      <c r="X26" s="70"/>
      <c r="Z26" s="70"/>
      <c r="AA26" s="70"/>
      <c r="AB26" s="70"/>
      <c r="AC26" s="70"/>
    </row>
    <row r="27" spans="1:29">
      <c r="B27" s="401" t="s">
        <v>38</v>
      </c>
      <c r="C27" s="386"/>
      <c r="D27" s="386"/>
      <c r="E27" s="386"/>
      <c r="F27" s="386"/>
      <c r="G27" s="359"/>
      <c r="H27" s="42"/>
      <c r="I27" s="390" t="s">
        <v>38</v>
      </c>
      <c r="J27" s="386"/>
      <c r="K27" s="386"/>
      <c r="L27" s="386"/>
      <c r="M27" s="386"/>
      <c r="N27" s="359"/>
      <c r="P27" s="316" t="s">
        <v>147</v>
      </c>
      <c r="Q27" s="168">
        <v>70.02</v>
      </c>
      <c r="R27" s="168">
        <v>50.365090000000002</v>
      </c>
      <c r="S27" s="168">
        <v>54.910159999999998</v>
      </c>
      <c r="T27" s="168">
        <v>155.31120000000001</v>
      </c>
      <c r="U27" s="318">
        <v>248.1808</v>
      </c>
      <c r="V27" s="70"/>
      <c r="Z27" s="70"/>
      <c r="AA27" s="70"/>
      <c r="AB27" s="70"/>
      <c r="AC27" s="70"/>
    </row>
    <row r="28" spans="1:29">
      <c r="B28" s="89" t="s">
        <v>8</v>
      </c>
      <c r="C28" s="89">
        <f t="shared" ref="C28:G28" si="8">Q16*Q27</f>
        <v>546674.03593484266</v>
      </c>
      <c r="D28" s="89">
        <f t="shared" si="8"/>
        <v>698025.81129271281</v>
      </c>
      <c r="E28" s="89">
        <f t="shared" si="8"/>
        <v>795025.02383945289</v>
      </c>
      <c r="F28" s="89">
        <f t="shared" si="8"/>
        <v>2162767.1279028282</v>
      </c>
      <c r="G28" s="89">
        <f t="shared" si="8"/>
        <v>2877584.7614100836</v>
      </c>
      <c r="H28" s="42"/>
      <c r="I28" s="108" t="s">
        <v>8</v>
      </c>
      <c r="J28" s="108">
        <f t="shared" ref="J28:N28" si="9">Q20*Q27</f>
        <v>136827.98941911687</v>
      </c>
      <c r="K28" s="108">
        <f t="shared" si="9"/>
        <v>149466.13027216552</v>
      </c>
      <c r="L28" s="108">
        <f t="shared" si="9"/>
        <v>122843.2752462316</v>
      </c>
      <c r="M28" s="108">
        <f t="shared" si="9"/>
        <v>546817.45031386125</v>
      </c>
      <c r="N28" s="108">
        <f t="shared" si="9"/>
        <v>1018312.1931461394</v>
      </c>
      <c r="P28" s="319" t="s">
        <v>165</v>
      </c>
      <c r="Q28" s="167">
        <v>1.59</v>
      </c>
      <c r="R28" s="167">
        <v>1.63</v>
      </c>
      <c r="S28" s="167">
        <v>1.603</v>
      </c>
      <c r="T28" s="167">
        <v>1.63</v>
      </c>
      <c r="U28" s="320">
        <v>1.86</v>
      </c>
    </row>
    <row r="29" spans="1:29">
      <c r="B29" s="89"/>
      <c r="C29" s="89"/>
      <c r="D29" s="89"/>
      <c r="E29" s="89"/>
      <c r="F29" s="89"/>
      <c r="G29" s="89"/>
      <c r="H29" s="42"/>
      <c r="I29" s="108"/>
      <c r="J29" s="108"/>
      <c r="K29" s="108"/>
      <c r="L29" s="108"/>
      <c r="M29" s="108"/>
      <c r="N29" s="108"/>
      <c r="P29" s="316" t="s">
        <v>92</v>
      </c>
      <c r="Q29" s="168">
        <v>0.05</v>
      </c>
      <c r="R29" s="168">
        <v>5.7000000000000002E-2</v>
      </c>
      <c r="S29" s="168">
        <v>5.7000000000000002E-2</v>
      </c>
      <c r="T29" s="168">
        <v>5.7000000000000002E-2</v>
      </c>
      <c r="U29" s="321">
        <v>0.06</v>
      </c>
    </row>
    <row r="30" spans="1:29">
      <c r="B30" s="402" t="s">
        <v>44</v>
      </c>
      <c r="C30" s="386"/>
      <c r="D30" s="386"/>
      <c r="E30" s="386"/>
      <c r="F30" s="386"/>
      <c r="G30" s="359"/>
      <c r="H30" s="42"/>
      <c r="I30" s="403" t="s">
        <v>44</v>
      </c>
      <c r="J30" s="386"/>
      <c r="K30" s="386"/>
      <c r="L30" s="386"/>
      <c r="M30" s="386"/>
      <c r="N30" s="359"/>
      <c r="P30" s="316" t="s">
        <v>164</v>
      </c>
      <c r="Q30" s="170">
        <f t="shared" ref="Q30:U30" si="10">Q27/$Q$33</f>
        <v>1.4144040000000002E-2</v>
      </c>
      <c r="R30" s="170">
        <f t="shared" si="10"/>
        <v>1.0173748180000003E-2</v>
      </c>
      <c r="S30" s="170">
        <f t="shared" si="10"/>
        <v>1.1091852320000001E-2</v>
      </c>
      <c r="T30" s="170">
        <f t="shared" si="10"/>
        <v>3.1372862400000007E-2</v>
      </c>
      <c r="U30" s="322">
        <f t="shared" si="10"/>
        <v>5.0132521600000007E-2</v>
      </c>
    </row>
    <row r="31" spans="1:29">
      <c r="B31" s="89" t="s">
        <v>8</v>
      </c>
      <c r="C31" s="173">
        <f>Q35*'forutsetninger 1'!G8</f>
        <v>642257.08191727998</v>
      </c>
      <c r="D31" s="173">
        <f>R35*'forutsetninger 1'!H8</f>
        <v>876618.42135522282</v>
      </c>
      <c r="E31" s="173">
        <f>S35*'forutsetninger 1'!I8</f>
        <v>928308.61539568228</v>
      </c>
      <c r="F31" s="173">
        <f>T35*'forutsetninger 1'!J8</f>
        <v>1158764.1486999409</v>
      </c>
      <c r="G31" s="173">
        <f>U35*'forutsetninger 1'!K8</f>
        <v>1202388.1041811968</v>
      </c>
      <c r="H31" s="42"/>
      <c r="I31" s="108" t="s">
        <v>8</v>
      </c>
      <c r="J31" s="175">
        <f>Q35*'forutsetninger 1'!G11</f>
        <v>160751.63522016001</v>
      </c>
      <c r="K31" s="175">
        <f>R35*'forutsetninger 1'!H11</f>
        <v>255657.77732572926</v>
      </c>
      <c r="L31" s="175">
        <f>S35*'forutsetninger 1'!I11</f>
        <v>195361.99303205041</v>
      </c>
      <c r="M31" s="175">
        <f>T35*'forutsetninger 1'!J11</f>
        <v>399029.27861182083</v>
      </c>
      <c r="N31" s="175">
        <f>U35*'forutsetninger 1'!K11</f>
        <v>579528.23177883844</v>
      </c>
      <c r="P31" s="397"/>
      <c r="Q31" s="398"/>
      <c r="R31" s="391"/>
      <c r="S31" s="391"/>
      <c r="T31" s="391"/>
      <c r="U31" s="392"/>
    </row>
    <row r="32" spans="1:29">
      <c r="B32" s="89"/>
      <c r="C32" s="173"/>
      <c r="D32" s="173"/>
      <c r="E32" s="173"/>
      <c r="F32" s="173"/>
      <c r="G32" s="173"/>
      <c r="H32" s="42"/>
      <c r="I32" s="108"/>
      <c r="J32" s="175"/>
      <c r="K32" s="175"/>
      <c r="L32" s="175"/>
      <c r="M32" s="175"/>
      <c r="N32" s="175"/>
      <c r="P32" s="316" t="s">
        <v>96</v>
      </c>
      <c r="Q32" s="177">
        <v>0.20200000000000001</v>
      </c>
      <c r="R32" s="393"/>
      <c r="S32" s="393"/>
      <c r="T32" s="393"/>
      <c r="U32" s="394"/>
    </row>
    <row r="33" spans="2:23">
      <c r="B33" s="388" t="s">
        <v>54</v>
      </c>
      <c r="C33" s="386"/>
      <c r="D33" s="386"/>
      <c r="E33" s="386"/>
      <c r="F33" s="386"/>
      <c r="G33" s="359"/>
      <c r="H33" s="42"/>
      <c r="I33" s="389" t="s">
        <v>54</v>
      </c>
      <c r="J33" s="386"/>
      <c r="K33" s="386"/>
      <c r="L33" s="386"/>
      <c r="M33" s="386"/>
      <c r="N33" s="359"/>
      <c r="P33" s="316" t="s">
        <v>163</v>
      </c>
      <c r="Q33" s="181">
        <f>1000/Q32</f>
        <v>4950.4950495049497</v>
      </c>
      <c r="R33" s="393"/>
      <c r="S33" s="393"/>
      <c r="T33" s="393"/>
      <c r="U33" s="394"/>
    </row>
    <row r="34" spans="2:23" ht="16" thickBot="1">
      <c r="B34" s="89" t="s">
        <v>8</v>
      </c>
      <c r="C34" s="173">
        <f t="shared" ref="C34:G34" si="11">C28-C31</f>
        <v>-95583.045982437325</v>
      </c>
      <c r="D34" s="173">
        <f t="shared" si="11"/>
        <v>-178592.61006251001</v>
      </c>
      <c r="E34" s="173">
        <f t="shared" si="11"/>
        <v>-133283.5915562294</v>
      </c>
      <c r="F34" s="173">
        <f t="shared" si="11"/>
        <v>1004002.9792028873</v>
      </c>
      <c r="G34" s="173">
        <f t="shared" si="11"/>
        <v>1675196.6572288868</v>
      </c>
      <c r="H34" s="42"/>
      <c r="I34" s="108" t="s">
        <v>8</v>
      </c>
      <c r="J34" s="175">
        <f t="shared" ref="J34:N34" si="12">J28-J31</f>
        <v>-23923.645801043138</v>
      </c>
      <c r="K34" s="175">
        <f t="shared" si="12"/>
        <v>-106191.64705356373</v>
      </c>
      <c r="L34" s="175">
        <f t="shared" si="12"/>
        <v>-72518.717785818808</v>
      </c>
      <c r="M34" s="175">
        <f t="shared" si="12"/>
        <v>147788.17170204042</v>
      </c>
      <c r="N34" s="175">
        <f t="shared" si="12"/>
        <v>438783.96136730094</v>
      </c>
      <c r="O34" s="314"/>
      <c r="P34" s="399"/>
      <c r="Q34" s="400"/>
      <c r="R34" s="395"/>
      <c r="S34" s="395"/>
      <c r="T34" s="395"/>
      <c r="U34" s="396"/>
      <c r="W34" s="184"/>
    </row>
    <row r="35" spans="2:23" ht="17" thickTop="1" thickBot="1">
      <c r="B35" s="130"/>
      <c r="C35" s="173"/>
      <c r="D35" s="173"/>
      <c r="E35" s="173"/>
      <c r="F35" s="173"/>
      <c r="G35" s="173"/>
      <c r="H35" s="2"/>
      <c r="I35" s="139"/>
      <c r="J35" s="175"/>
      <c r="K35" s="175"/>
      <c r="L35" s="175"/>
      <c r="M35" s="175"/>
      <c r="N35" s="175"/>
      <c r="P35" s="323" t="s">
        <v>166</v>
      </c>
      <c r="Q35" s="324">
        <f t="shared" ref="Q35:U35" si="13">Q30+Q29</f>
        <v>6.4144039999999999E-2</v>
      </c>
      <c r="R35" s="324">
        <f t="shared" si="13"/>
        <v>6.7173748180000006E-2</v>
      </c>
      <c r="S35" s="324">
        <f t="shared" si="13"/>
        <v>6.8091852320000007E-2</v>
      </c>
      <c r="T35" s="324">
        <f t="shared" si="13"/>
        <v>8.8372862400000002E-2</v>
      </c>
      <c r="U35" s="325">
        <f t="shared" si="13"/>
        <v>0.11013252160000001</v>
      </c>
      <c r="W35" s="185"/>
    </row>
    <row r="36" spans="2:23">
      <c r="W36" s="184"/>
    </row>
    <row r="37" spans="2:23">
      <c r="W37" s="185"/>
    </row>
    <row r="38" spans="2:23">
      <c r="W38" s="184"/>
    </row>
    <row r="39" spans="2:23">
      <c r="W39" s="185"/>
    </row>
    <row r="40" spans="2:23">
      <c r="I40" s="30"/>
      <c r="J40" s="30"/>
      <c r="K40" s="30"/>
      <c r="L40" s="30"/>
      <c r="W40" s="184"/>
    </row>
    <row r="41" spans="2:23">
      <c r="W41" s="185"/>
    </row>
    <row r="42" spans="2:23">
      <c r="W42" s="184"/>
    </row>
    <row r="43" spans="2:23">
      <c r="W43" s="185"/>
    </row>
  </sheetData>
  <mergeCells count="30">
    <mergeCell ref="B4:G4"/>
    <mergeCell ref="I4:N4"/>
    <mergeCell ref="B5:G5"/>
    <mergeCell ref="I5:N5"/>
    <mergeCell ref="B15:G15"/>
    <mergeCell ref="I15:N15"/>
    <mergeCell ref="B22:G22"/>
    <mergeCell ref="I22:N22"/>
    <mergeCell ref="W7:X7"/>
    <mergeCell ref="I8:N8"/>
    <mergeCell ref="P10:U11"/>
    <mergeCell ref="I11:N11"/>
    <mergeCell ref="B8:G8"/>
    <mergeCell ref="B11:G11"/>
    <mergeCell ref="B16:G16"/>
    <mergeCell ref="I16:N16"/>
    <mergeCell ref="I19:N19"/>
    <mergeCell ref="B19:G19"/>
    <mergeCell ref="P24:U25"/>
    <mergeCell ref="B26:G26"/>
    <mergeCell ref="I26:N26"/>
    <mergeCell ref="B33:G33"/>
    <mergeCell ref="I33:N33"/>
    <mergeCell ref="I27:N27"/>
    <mergeCell ref="R31:U34"/>
    <mergeCell ref="P31:Q31"/>
    <mergeCell ref="P34:Q34"/>
    <mergeCell ref="B27:G27"/>
    <mergeCell ref="B30:G30"/>
    <mergeCell ref="I30:N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V999"/>
  <sheetViews>
    <sheetView workbookViewId="0">
      <selection activeCell="G7" sqref="G7"/>
    </sheetView>
  </sheetViews>
  <sheetFormatPr baseColWidth="10" defaultColWidth="12.6640625" defaultRowHeight="15" customHeight="1"/>
  <cols>
    <col min="1" max="1" width="36.1640625" customWidth="1"/>
    <col min="2" max="2" width="37.6640625" customWidth="1"/>
    <col min="3" max="3" width="17.83203125" customWidth="1"/>
    <col min="4" max="4" width="15.83203125" customWidth="1"/>
    <col min="5" max="5" width="15.1640625" customWidth="1"/>
    <col min="6" max="6" width="16.33203125" customWidth="1"/>
    <col min="7" max="7" width="14.83203125" customWidth="1"/>
    <col min="8" max="8" width="16.6640625" customWidth="1"/>
    <col min="9" max="9" width="13.1640625" customWidth="1"/>
    <col min="10" max="10" width="14.6640625" customWidth="1"/>
    <col min="11" max="11" width="15.83203125" customWidth="1"/>
    <col min="12" max="12" width="13" customWidth="1"/>
    <col min="13" max="13" width="26" customWidth="1"/>
    <col min="14" max="14" width="16.6640625" customWidth="1"/>
    <col min="15" max="15" width="13.83203125" customWidth="1"/>
    <col min="16" max="16" width="19.1640625" customWidth="1"/>
    <col min="17" max="17" width="18.1640625" customWidth="1"/>
    <col min="18" max="18" width="22.5" customWidth="1"/>
    <col min="19" max="19" width="9.5" customWidth="1"/>
    <col min="20" max="21" width="9.6640625" customWidth="1"/>
    <col min="22" max="22" width="16.5" customWidth="1"/>
    <col min="23" max="26" width="9.33203125" customWidth="1"/>
  </cols>
  <sheetData>
    <row r="3" spans="1:22">
      <c r="B3" s="39" t="s">
        <v>24</v>
      </c>
      <c r="C3" s="40">
        <v>2015</v>
      </c>
      <c r="D3" s="40">
        <v>2016</v>
      </c>
      <c r="E3" s="40">
        <v>2017</v>
      </c>
      <c r="F3" s="40">
        <v>2018</v>
      </c>
      <c r="G3" s="41">
        <v>2019</v>
      </c>
    </row>
    <row r="4" spans="1:22">
      <c r="B4" s="43" t="s">
        <v>25</v>
      </c>
      <c r="C4" s="45">
        <f>'forutsetninger 1'!$C$36*'forutsetninger 1'!G14</f>
        <v>307.18872246696037</v>
      </c>
      <c r="D4" s="45">
        <f>'forutsetninger 1'!$C$36*'forutsetninger 1'!H14</f>
        <v>330.90490455212921</v>
      </c>
      <c r="E4" s="45">
        <f>'forutsetninger 1'!$C$36*'forutsetninger 1'!I14</f>
        <v>389.35118942731282</v>
      </c>
      <c r="F4" s="45">
        <f>'forutsetninger 1'!$C$36*'forutsetninger 1'!J14</f>
        <v>434.0694273127753</v>
      </c>
      <c r="G4" s="49">
        <f>'forutsetninger 1'!$C$36*'forutsetninger 1'!K14</f>
        <v>328.17057268722471</v>
      </c>
    </row>
    <row r="5" spans="1:22" ht="21">
      <c r="A5" s="52"/>
      <c r="B5" s="54" t="s">
        <v>37</v>
      </c>
      <c r="C5" s="40">
        <v>2015</v>
      </c>
      <c r="D5" s="40">
        <v>2016</v>
      </c>
      <c r="E5" s="40">
        <v>2017</v>
      </c>
      <c r="F5" s="40">
        <v>2018</v>
      </c>
      <c r="G5" s="41">
        <v>2019</v>
      </c>
    </row>
    <row r="6" spans="1:22">
      <c r="B6" s="43" t="s">
        <v>25</v>
      </c>
      <c r="C6" s="45">
        <f>0</f>
        <v>0</v>
      </c>
      <c r="D6" s="45">
        <f>0</f>
        <v>0</v>
      </c>
      <c r="E6" s="45">
        <f>0</f>
        <v>0</v>
      </c>
      <c r="F6" s="45">
        <f>0</f>
        <v>0</v>
      </c>
      <c r="G6" s="49">
        <f>0</f>
        <v>0</v>
      </c>
    </row>
    <row r="9" spans="1:22">
      <c r="A9" s="59"/>
      <c r="B9" s="60" t="s">
        <v>39</v>
      </c>
      <c r="C9" s="40">
        <v>2015</v>
      </c>
      <c r="D9" s="40">
        <v>2016</v>
      </c>
      <c r="E9" s="40">
        <v>2017</v>
      </c>
      <c r="F9" s="40">
        <v>2018</v>
      </c>
      <c r="G9" s="41">
        <v>2019</v>
      </c>
    </row>
    <row r="10" spans="1:22">
      <c r="B10" s="62" t="s">
        <v>8</v>
      </c>
      <c r="C10" s="420" t="s">
        <v>40</v>
      </c>
      <c r="D10" s="369"/>
      <c r="E10" s="369"/>
      <c r="F10" s="369"/>
      <c r="G10" s="421"/>
    </row>
    <row r="11" spans="1:22">
      <c r="B11" s="66" t="s">
        <v>9</v>
      </c>
      <c r="C11" s="348"/>
      <c r="D11" s="369"/>
      <c r="E11" s="369"/>
      <c r="F11" s="369"/>
      <c r="G11" s="421"/>
    </row>
    <row r="12" spans="1:22" ht="21">
      <c r="B12" s="69" t="s">
        <v>10</v>
      </c>
      <c r="C12" s="422"/>
      <c r="D12" s="423"/>
      <c r="E12" s="423"/>
      <c r="F12" s="423"/>
      <c r="G12" s="424"/>
      <c r="S12" s="74"/>
      <c r="T12" s="74"/>
      <c r="U12" s="75"/>
      <c r="V12" s="74"/>
    </row>
    <row r="13" spans="1:22" ht="21">
      <c r="B13" s="70"/>
      <c r="C13" s="70"/>
      <c r="D13" s="70"/>
      <c r="E13" s="70"/>
      <c r="F13" s="70"/>
      <c r="G13" s="70"/>
      <c r="S13" s="76"/>
      <c r="T13" s="76"/>
      <c r="U13" s="76"/>
      <c r="V13" s="76"/>
    </row>
    <row r="14" spans="1:22" ht="21">
      <c r="B14" s="70"/>
      <c r="C14" s="70"/>
      <c r="D14" s="70"/>
      <c r="E14" s="70"/>
      <c r="F14" s="70"/>
      <c r="G14" s="70"/>
      <c r="S14" s="76"/>
      <c r="T14" s="76"/>
      <c r="U14" s="76"/>
      <c r="V14" s="76"/>
    </row>
    <row r="15" spans="1:22" ht="21">
      <c r="B15" s="70"/>
      <c r="C15" s="70"/>
      <c r="D15" s="70"/>
      <c r="E15" s="70"/>
      <c r="F15" s="70"/>
      <c r="G15" s="70"/>
      <c r="S15" s="76"/>
      <c r="T15" s="76"/>
      <c r="U15" s="76"/>
      <c r="V15" s="76"/>
    </row>
    <row r="16" spans="1:22" ht="21">
      <c r="B16" s="77" t="s">
        <v>45</v>
      </c>
      <c r="C16" s="79">
        <v>2015</v>
      </c>
      <c r="D16" s="79">
        <v>2016</v>
      </c>
      <c r="E16" s="79">
        <v>2017</v>
      </c>
      <c r="F16" s="79">
        <v>2018</v>
      </c>
      <c r="G16" s="81">
        <v>2019</v>
      </c>
      <c r="S16" s="76"/>
      <c r="T16" s="76"/>
      <c r="U16" s="76"/>
      <c r="V16" s="76"/>
    </row>
    <row r="17" spans="1:22" ht="21">
      <c r="B17" s="83" t="s">
        <v>46</v>
      </c>
      <c r="C17" s="85">
        <f>'forutsetninger 1'!G22</f>
        <v>105212.13744493392</v>
      </c>
      <c r="D17" s="85">
        <f>'forutsetninger 1'!H22</f>
        <v>113334.92980910426</v>
      </c>
      <c r="E17" s="85">
        <f>'forutsetninger 1'!I22</f>
        <v>133352.78237885461</v>
      </c>
      <c r="F17" s="85">
        <f>'forutsetninger 1'!J22</f>
        <v>148668.77885462553</v>
      </c>
      <c r="G17" s="88">
        <f>'forutsetninger 1'!K22</f>
        <v>112398.42114537445</v>
      </c>
      <c r="S17" s="76"/>
      <c r="T17" s="76"/>
      <c r="U17" s="76"/>
      <c r="V17" s="76"/>
    </row>
    <row r="18" spans="1:22">
      <c r="B18" s="90" t="s">
        <v>48</v>
      </c>
      <c r="C18" s="425" t="s">
        <v>22</v>
      </c>
      <c r="D18" s="426"/>
      <c r="E18" s="426"/>
      <c r="F18" s="426"/>
      <c r="G18" s="427"/>
    </row>
    <row r="19" spans="1:22" ht="16">
      <c r="B19" s="92" t="s">
        <v>51</v>
      </c>
      <c r="C19" s="94">
        <f>C17*'forutsetninger 2'!$C$11</f>
        <v>23146.670237885464</v>
      </c>
      <c r="D19" s="94">
        <f>D17*'forutsetninger 2'!$C$11</f>
        <v>24933.684558002937</v>
      </c>
      <c r="E19" s="94">
        <f>E17*'forutsetninger 2'!$C$11</f>
        <v>29337.612123348015</v>
      </c>
      <c r="F19" s="94">
        <f>F17*'forutsetninger 2'!$C$11</f>
        <v>32707.131348017618</v>
      </c>
      <c r="G19" s="96">
        <f>G17*'forutsetninger 2'!$C$11</f>
        <v>24727.652651982378</v>
      </c>
    </row>
    <row r="20" spans="1:22" ht="15.75" customHeight="1">
      <c r="B20" s="92" t="s">
        <v>52</v>
      </c>
      <c r="C20" s="94">
        <f>C17*'forutsetninger 2'!$D$11</f>
        <v>105.21213744493392</v>
      </c>
      <c r="D20" s="94">
        <f>D17*'forutsetninger 2'!$D$11</f>
        <v>113.33492980910427</v>
      </c>
      <c r="E20" s="94">
        <f>E17*'forutsetninger 2'!$D$11</f>
        <v>133.35278237885461</v>
      </c>
      <c r="F20" s="94">
        <f>F17*'forutsetninger 2'!$D$11</f>
        <v>148.66877885462554</v>
      </c>
      <c r="G20" s="96">
        <f>G17*'forutsetninger 2'!$D$11</f>
        <v>112.39842114537446</v>
      </c>
    </row>
    <row r="21" spans="1:22" ht="15.75" customHeight="1">
      <c r="B21" s="92" t="s">
        <v>55</v>
      </c>
      <c r="C21" s="94">
        <f>C17*'forutsetninger 2'!$E$11</f>
        <v>0</v>
      </c>
      <c r="D21" s="94">
        <f>D17*'forutsetninger 2'!$E$11</f>
        <v>0</v>
      </c>
      <c r="E21" s="94">
        <f>E17*'forutsetninger 2'!$E$11</f>
        <v>0</v>
      </c>
      <c r="F21" s="94">
        <f>F17*'forutsetninger 2'!$E$11</f>
        <v>0</v>
      </c>
      <c r="G21" s="96">
        <f>G17*'forutsetninger 2'!$E$11</f>
        <v>0</v>
      </c>
    </row>
    <row r="22" spans="1:22" ht="15.75" customHeight="1">
      <c r="B22" s="100" t="s">
        <v>56</v>
      </c>
      <c r="C22" s="85">
        <f>C17*'forutsetninger 2'!$F$11/1000</f>
        <v>21252.85176387665</v>
      </c>
      <c r="D22" s="85">
        <f>D17*'forutsetninger 2'!$F$11/1000</f>
        <v>22893.655821439061</v>
      </c>
      <c r="E22" s="85">
        <f>E17*'forutsetninger 2'!$F$11/1000</f>
        <v>26937.262040528632</v>
      </c>
      <c r="F22" s="85">
        <f>F17*'forutsetninger 2'!$F$11/1000</f>
        <v>30031.093328634361</v>
      </c>
      <c r="G22" s="88">
        <f>G17*'forutsetninger 2'!$F$11/1000</f>
        <v>22704.481071365641</v>
      </c>
    </row>
    <row r="23" spans="1:22" ht="15.75" customHeight="1">
      <c r="B23" s="90" t="s">
        <v>59</v>
      </c>
      <c r="C23" s="425" t="s">
        <v>17</v>
      </c>
      <c r="D23" s="426"/>
      <c r="E23" s="426"/>
      <c r="F23" s="426"/>
      <c r="G23" s="427"/>
    </row>
    <row r="24" spans="1:22" ht="15.75" customHeight="1">
      <c r="B24" s="92" t="s">
        <v>60</v>
      </c>
      <c r="C24" s="94">
        <f>C17*'forutsetninger 2'!$C$6</f>
        <v>73648.496211453734</v>
      </c>
      <c r="D24" s="94">
        <f>D17*'forutsetninger 2'!$C$6</f>
        <v>79334.450866372979</v>
      </c>
      <c r="E24" s="94">
        <f>E17*'forutsetninger 2'!$C$6</f>
        <v>93346.947665198226</v>
      </c>
      <c r="F24" s="94">
        <f>F17*'forutsetninger 2'!$C$6</f>
        <v>104068.14519823786</v>
      </c>
      <c r="G24" s="96">
        <f>G17*'forutsetninger 2'!$C$6</f>
        <v>78678.894801762115</v>
      </c>
      <c r="I24" s="312"/>
      <c r="J24" s="312"/>
      <c r="K24" s="312"/>
      <c r="L24" s="312"/>
    </row>
    <row r="25" spans="1:22" ht="15.75" customHeight="1">
      <c r="B25" s="92" t="s">
        <v>61</v>
      </c>
      <c r="C25" s="94">
        <f>C17*'forutsetninger 2'!$D$6</f>
        <v>63127.282466960351</v>
      </c>
      <c r="D25" s="94">
        <f>D17*'forutsetninger 2'!$D$6</f>
        <v>68000.957885462558</v>
      </c>
      <c r="E25" s="94">
        <f>E17*'forutsetninger 2'!$D$6</f>
        <v>80011.669427312765</v>
      </c>
      <c r="F25" s="94">
        <f>F17*'forutsetninger 2'!$D$6</f>
        <v>89201.267312775322</v>
      </c>
      <c r="G25" s="96">
        <f>G17*'forutsetninger 2'!$D$6</f>
        <v>67439.05268722467</v>
      </c>
      <c r="H25" s="312"/>
      <c r="K25" s="31"/>
      <c r="L25" s="31"/>
      <c r="M25" s="74"/>
      <c r="N25" s="31"/>
      <c r="O25" s="31"/>
    </row>
    <row r="26" spans="1:22" ht="15.75" customHeight="1">
      <c r="B26" s="92" t="s">
        <v>55</v>
      </c>
      <c r="C26" s="94">
        <f>C17*'forutsetninger 2'!$E$6</f>
        <v>8416.9709955947146</v>
      </c>
      <c r="D26" s="94">
        <f>D17*'forutsetninger 2'!$E$6</f>
        <v>9066.7943847283404</v>
      </c>
      <c r="E26" s="94">
        <f>E17*'forutsetninger 2'!$E$6</f>
        <v>10668.222590308369</v>
      </c>
      <c r="F26" s="94">
        <f>F17*'forutsetninger 2'!$E$6</f>
        <v>11893.502308370043</v>
      </c>
      <c r="G26" s="96">
        <f>G17*'forutsetninger 2'!$E$6</f>
        <v>8991.8736916299567</v>
      </c>
      <c r="H26" s="312"/>
    </row>
    <row r="27" spans="1:22" ht="15.75" customHeight="1">
      <c r="A27" s="31"/>
      <c r="B27" s="113" t="s">
        <v>66</v>
      </c>
      <c r="C27" s="117">
        <f>C17*'forutsetninger 2'!$F$6/1000</f>
        <v>29564.610622026434</v>
      </c>
      <c r="D27" s="117">
        <f>D17*'forutsetninger 2'!$F$6/1000</f>
        <v>31847.115276358294</v>
      </c>
      <c r="E27" s="117">
        <f>E17*'forutsetninger 2'!$F$6/1000</f>
        <v>37472.13184845815</v>
      </c>
      <c r="F27" s="117">
        <f>F17*'forutsetninger 2'!$F$6/1000</f>
        <v>41775.926858149774</v>
      </c>
      <c r="G27" s="119">
        <f>G17*'forutsetninger 2'!$F$6/1000</f>
        <v>31583.956341850222</v>
      </c>
      <c r="H27" s="312"/>
    </row>
    <row r="28" spans="1:22" ht="15.75" customHeight="1">
      <c r="A28" s="31"/>
      <c r="B28" s="428" t="s">
        <v>70</v>
      </c>
      <c r="C28" s="429"/>
      <c r="D28" s="429"/>
      <c r="E28" s="429"/>
      <c r="F28" s="429"/>
      <c r="G28" s="430"/>
    </row>
    <row r="29" spans="1:22" ht="15.75" customHeight="1">
      <c r="A29" s="31"/>
      <c r="B29" s="122" t="s">
        <v>72</v>
      </c>
      <c r="C29" s="124">
        <f t="shared" ref="C29:G29" si="0">C24-C19</f>
        <v>50501.825973568266</v>
      </c>
      <c r="D29" s="124">
        <f t="shared" si="0"/>
        <v>54400.766308370046</v>
      </c>
      <c r="E29" s="124">
        <f t="shared" si="0"/>
        <v>64009.335541850211</v>
      </c>
      <c r="F29" s="124">
        <f t="shared" si="0"/>
        <v>71361.013850220246</v>
      </c>
      <c r="G29" s="126">
        <f t="shared" si="0"/>
        <v>53951.242149779733</v>
      </c>
      <c r="J29" s="31"/>
      <c r="K29" s="31"/>
      <c r="L29" s="76"/>
      <c r="M29" s="76"/>
      <c r="N29" s="74"/>
      <c r="O29" s="74"/>
      <c r="P29" s="75"/>
      <c r="Q29" s="74"/>
      <c r="R29" s="74"/>
    </row>
    <row r="30" spans="1:22" ht="15.75" customHeight="1">
      <c r="A30" s="31"/>
      <c r="B30" s="122" t="s">
        <v>75</v>
      </c>
      <c r="C30" s="124">
        <f t="shared" ref="C30:G30" si="1">C25-C20</f>
        <v>63022.070329515416</v>
      </c>
      <c r="D30" s="124">
        <f t="shared" si="1"/>
        <v>67887.622955653453</v>
      </c>
      <c r="E30" s="124">
        <f t="shared" si="1"/>
        <v>79878.316644933904</v>
      </c>
      <c r="F30" s="124">
        <f t="shared" si="1"/>
        <v>89052.598533920696</v>
      </c>
      <c r="G30" s="126">
        <f t="shared" si="1"/>
        <v>67326.654266079291</v>
      </c>
      <c r="J30" s="129"/>
      <c r="K30" s="31"/>
      <c r="L30" s="131"/>
      <c r="M30" s="76"/>
      <c r="N30" s="31"/>
      <c r="O30" s="31"/>
      <c r="P30" s="31"/>
      <c r="Q30" s="132"/>
      <c r="R30" s="31"/>
    </row>
    <row r="31" spans="1:22" ht="15.75" customHeight="1">
      <c r="A31" s="31"/>
      <c r="B31" s="122" t="s">
        <v>55</v>
      </c>
      <c r="C31" s="124">
        <f t="shared" ref="C31:G31" si="2">C26-C21</f>
        <v>8416.9709955947146</v>
      </c>
      <c r="D31" s="124">
        <f t="shared" si="2"/>
        <v>9066.7943847283404</v>
      </c>
      <c r="E31" s="124">
        <f t="shared" si="2"/>
        <v>10668.222590308369</v>
      </c>
      <c r="F31" s="124">
        <f t="shared" si="2"/>
        <v>11893.502308370043</v>
      </c>
      <c r="G31" s="126">
        <f t="shared" si="2"/>
        <v>8991.8736916299567</v>
      </c>
      <c r="J31" s="129"/>
      <c r="K31" s="31"/>
      <c r="L31" s="131"/>
      <c r="M31" s="76"/>
      <c r="N31" s="31"/>
      <c r="O31" s="31"/>
      <c r="P31" s="31"/>
      <c r="Q31" s="132"/>
      <c r="R31" s="31"/>
    </row>
    <row r="32" spans="1:22" ht="15.75" customHeight="1">
      <c r="B32" s="134" t="s">
        <v>77</v>
      </c>
      <c r="C32" s="137">
        <f t="shared" ref="C32:G32" si="3">C27-C22</f>
        <v>8311.7588581497839</v>
      </c>
      <c r="D32" s="137">
        <f t="shared" si="3"/>
        <v>8953.4594549192334</v>
      </c>
      <c r="E32" s="137">
        <f t="shared" si="3"/>
        <v>10534.869807929517</v>
      </c>
      <c r="F32" s="137">
        <f t="shared" si="3"/>
        <v>11744.833529515414</v>
      </c>
      <c r="G32" s="140">
        <f t="shared" si="3"/>
        <v>8879.4752704845814</v>
      </c>
      <c r="J32" s="129"/>
      <c r="K32" s="31"/>
      <c r="L32" s="131"/>
      <c r="M32" s="76"/>
      <c r="N32" s="31"/>
      <c r="O32" s="31"/>
      <c r="P32" s="31"/>
      <c r="Q32" s="132"/>
      <c r="R32" s="31"/>
    </row>
    <row r="33" spans="1:18" ht="15.75" customHeight="1">
      <c r="J33" s="129"/>
      <c r="K33" s="31"/>
      <c r="L33" s="131"/>
      <c r="M33" s="76"/>
      <c r="N33" s="31"/>
      <c r="O33" s="31"/>
      <c r="P33" s="31"/>
      <c r="Q33" s="132"/>
      <c r="R33" s="31"/>
    </row>
    <row r="34" spans="1:18" ht="15.75" customHeight="1">
      <c r="J34" s="129"/>
      <c r="K34" s="31"/>
      <c r="L34" s="131"/>
      <c r="M34" s="76"/>
      <c r="N34" s="31"/>
      <c r="O34" s="31"/>
      <c r="P34" s="31"/>
      <c r="Q34" s="132"/>
      <c r="R34" s="31"/>
    </row>
    <row r="36" spans="1:18" ht="15" customHeight="1">
      <c r="B36" s="129"/>
      <c r="C36" s="129"/>
      <c r="D36" s="74"/>
      <c r="E36" s="31"/>
      <c r="F36" s="31"/>
    </row>
    <row r="37" spans="1:18" ht="15.75" customHeight="1">
      <c r="B37" s="31"/>
      <c r="C37" s="75"/>
      <c r="D37" s="31"/>
      <c r="E37" s="31"/>
      <c r="F37" s="31"/>
    </row>
    <row r="38" spans="1:18" ht="15.75" customHeight="1">
      <c r="B38" s="31"/>
      <c r="C38" s="18"/>
      <c r="D38" s="18"/>
      <c r="E38" s="18"/>
      <c r="F38" s="18"/>
    </row>
    <row r="39" spans="1:18" ht="15.75" customHeight="1">
      <c r="B39" s="31"/>
      <c r="C39" s="18"/>
      <c r="D39" s="31"/>
      <c r="E39" s="18"/>
      <c r="F39" s="18"/>
    </row>
    <row r="40" spans="1:18" ht="15.75" customHeight="1">
      <c r="B40" s="31"/>
      <c r="C40" s="18"/>
      <c r="D40" s="31"/>
      <c r="E40" s="18"/>
      <c r="F40" s="18"/>
    </row>
    <row r="41" spans="1:18" ht="15.75" customHeight="1">
      <c r="B41" s="31"/>
      <c r="C41" s="18"/>
      <c r="D41" s="31"/>
      <c r="E41" s="18"/>
      <c r="F41" s="18"/>
    </row>
    <row r="42" spans="1:18" ht="15.75" customHeight="1">
      <c r="B42" s="31"/>
      <c r="C42" s="18"/>
      <c r="D42" s="31"/>
      <c r="E42" s="18"/>
      <c r="F42" s="18"/>
    </row>
    <row r="43" spans="1:18" ht="15.75" customHeight="1">
      <c r="B43" s="18"/>
      <c r="C43" s="18"/>
      <c r="D43" s="18"/>
      <c r="E43" s="18"/>
      <c r="F43" s="18"/>
    </row>
    <row r="44" spans="1:18" ht="15.75" customHeight="1">
      <c r="B44" s="18"/>
      <c r="C44" s="18"/>
      <c r="D44" s="18"/>
      <c r="E44" s="18"/>
      <c r="F44" s="18"/>
    </row>
    <row r="45" spans="1:18" ht="15.75" customHeight="1">
      <c r="B45" s="18"/>
      <c r="C45" s="18"/>
      <c r="D45" s="18"/>
      <c r="E45" s="18"/>
      <c r="F45" s="18"/>
    </row>
    <row r="46" spans="1:18" ht="15.75" customHeight="1"/>
    <row r="47" spans="1:18" ht="15.75" customHeight="1">
      <c r="K47" s="145">
        <v>1</v>
      </c>
    </row>
    <row r="48" spans="1:1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4">
    <mergeCell ref="C10:G12"/>
    <mergeCell ref="C18:G18"/>
    <mergeCell ref="C23:G23"/>
    <mergeCell ref="B28:G28"/>
  </mergeCells>
  <pageMargins left="0.7" right="0.7" top="0.75" bottom="0.75" header="0" footer="0"/>
  <pageSetup orientation="landscape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V1000"/>
  <sheetViews>
    <sheetView workbookViewId="0">
      <selection activeCell="I18" sqref="I18"/>
    </sheetView>
  </sheetViews>
  <sheetFormatPr baseColWidth="10" defaultColWidth="12.6640625" defaultRowHeight="15" customHeight="1"/>
  <cols>
    <col min="1" max="1" width="38.5" customWidth="1"/>
    <col min="2" max="2" width="36.6640625" customWidth="1"/>
    <col min="3" max="3" width="17.6640625" customWidth="1"/>
    <col min="4" max="4" width="14.1640625" customWidth="1"/>
    <col min="5" max="5" width="16" customWidth="1"/>
    <col min="6" max="6" width="15" customWidth="1"/>
    <col min="7" max="7" width="16.33203125" customWidth="1"/>
    <col min="8" max="8" width="23.1640625" customWidth="1"/>
    <col min="9" max="9" width="13.1640625" customWidth="1"/>
    <col min="10" max="12" width="14" customWidth="1"/>
    <col min="13" max="13" width="14.33203125" customWidth="1"/>
    <col min="14" max="14" width="15.6640625" customWidth="1"/>
    <col min="15" max="15" width="16.6640625" customWidth="1"/>
    <col min="16" max="16" width="9.5" customWidth="1"/>
    <col min="17" max="17" width="27.6640625" customWidth="1"/>
    <col min="18" max="18" width="34.6640625" customWidth="1"/>
    <col min="19" max="19" width="41.1640625" customWidth="1"/>
    <col min="20" max="20" width="16.5" customWidth="1"/>
    <col min="21" max="21" width="19.1640625" customWidth="1"/>
    <col min="22" max="26" width="9.33203125" customWidth="1"/>
  </cols>
  <sheetData>
    <row r="3" spans="2:22">
      <c r="B3" s="39" t="s">
        <v>24</v>
      </c>
      <c r="C3" s="40">
        <v>2015</v>
      </c>
      <c r="D3" s="40">
        <v>2016</v>
      </c>
      <c r="E3" s="40">
        <v>2017</v>
      </c>
      <c r="F3" s="40">
        <v>2018</v>
      </c>
      <c r="G3" s="41">
        <v>2019</v>
      </c>
    </row>
    <row r="4" spans="2:22" ht="21.75" customHeight="1">
      <c r="B4" s="207" t="s">
        <v>25</v>
      </c>
      <c r="C4" s="211">
        <f>'forutsetninger 1'!$C$36*'forutsetninger 1'!G15</f>
        <v>133.05961820851689</v>
      </c>
      <c r="D4" s="211">
        <f>'forutsetninger 1'!$C$36*'forutsetninger 1'!H15</f>
        <v>125.41653450807637</v>
      </c>
      <c r="E4" s="211">
        <f>'forutsetninger 1'!$C$36*'forutsetninger 1'!I15</f>
        <v>126.31124816446403</v>
      </c>
      <c r="F4" s="211">
        <f>'forutsetninger 1'!$C$36*'forutsetninger 1'!J15</f>
        <v>117.54496328928047</v>
      </c>
      <c r="G4" s="214">
        <f>'forutsetninger 1'!$C$36*'forutsetninger 1'!K15</f>
        <v>115.38005873715124</v>
      </c>
      <c r="R4" s="215"/>
      <c r="S4" s="215"/>
      <c r="T4" s="215"/>
      <c r="U4" s="215"/>
      <c r="V4" s="215"/>
    </row>
    <row r="5" spans="2:22" ht="21" customHeight="1">
      <c r="B5" s="54" t="s">
        <v>37</v>
      </c>
      <c r="C5" s="40">
        <v>2015</v>
      </c>
      <c r="D5" s="40">
        <v>2016</v>
      </c>
      <c r="E5" s="40">
        <v>2017</v>
      </c>
      <c r="F5" s="40">
        <v>2018</v>
      </c>
      <c r="G5" s="41">
        <v>2019</v>
      </c>
      <c r="R5" s="215"/>
      <c r="S5" s="215"/>
      <c r="T5" s="215"/>
      <c r="U5" s="215"/>
      <c r="V5" s="215"/>
    </row>
    <row r="6" spans="2:22" ht="21" customHeight="1">
      <c r="B6" s="207" t="s">
        <v>25</v>
      </c>
      <c r="C6" s="211">
        <f>'forutsetninger 1'!G15*'forutsetninger 1'!$C$38</f>
        <v>365.91395007342146</v>
      </c>
      <c r="D6" s="211">
        <f>'forutsetninger 1'!H15*'forutsetninger 1'!$C$38</f>
        <v>344.89546989721003</v>
      </c>
      <c r="E6" s="211">
        <f>'forutsetninger 1'!I15*'forutsetninger 1'!$C$38</f>
        <v>347.35593245227608</v>
      </c>
      <c r="F6" s="211">
        <f>'forutsetninger 1'!J15*'forutsetninger 1'!$C$38</f>
        <v>323.24864904552129</v>
      </c>
      <c r="G6" s="214">
        <f>'forutsetninger 1'!K15*'forutsetninger 1'!$C$38</f>
        <v>317.29516152716593</v>
      </c>
      <c r="R6" s="215"/>
      <c r="S6" s="215"/>
      <c r="T6" s="215"/>
      <c r="U6" s="215"/>
      <c r="V6" s="215"/>
    </row>
    <row r="7" spans="2:22" ht="21" customHeight="1">
      <c r="R7" s="215"/>
      <c r="S7" s="215"/>
      <c r="T7" s="215"/>
      <c r="U7" s="215"/>
      <c r="V7" s="215"/>
    </row>
    <row r="8" spans="2:22" ht="21.75" customHeight="1">
      <c r="B8" s="218" t="s">
        <v>100</v>
      </c>
      <c r="C8" s="220">
        <v>2015</v>
      </c>
      <c r="D8" s="219">
        <v>2016</v>
      </c>
      <c r="E8" s="219">
        <v>2017</v>
      </c>
      <c r="F8" s="219">
        <v>2018</v>
      </c>
      <c r="G8" s="221">
        <v>2019</v>
      </c>
      <c r="I8" s="314"/>
      <c r="R8" s="215"/>
      <c r="S8" s="215"/>
      <c r="T8" s="215"/>
      <c r="U8" s="215"/>
      <c r="V8" s="215"/>
    </row>
    <row r="9" spans="2:22" ht="21" customHeight="1">
      <c r="B9" s="222" t="s">
        <v>8</v>
      </c>
      <c r="C9" s="224">
        <f>'forutsetninger 1'!G31*'forutsetninger 1'!$R$7</f>
        <v>47532.843059909996</v>
      </c>
      <c r="D9" s="224">
        <f>'forutsetninger 1'!H31*'forutsetninger 1'!$R$7</f>
        <v>44842.304773499993</v>
      </c>
      <c r="E9" s="224">
        <f>'forutsetninger 1'!I31*'forutsetninger 1'!$R$7</f>
        <v>45141.253471989992</v>
      </c>
      <c r="F9" s="224">
        <f>'forutsetninger 1'!J31*'forutsetninger 1'!$R$7</f>
        <v>41852.817788599998</v>
      </c>
      <c r="G9" s="226">
        <f>'forutsetninger 1'!K31*'forutsetninger 1'!$R$7</f>
        <v>41254.920391619999</v>
      </c>
      <c r="R9" s="215"/>
      <c r="S9" s="215"/>
      <c r="T9" s="215"/>
      <c r="U9" s="215"/>
      <c r="V9" s="215"/>
    </row>
    <row r="10" spans="2:22" ht="21" customHeight="1">
      <c r="B10" s="222" t="s">
        <v>9</v>
      </c>
      <c r="C10" s="224">
        <f>'forutsetninger 1'!G31*'forutsetninger 1'!$R$8</f>
        <v>70.675217457000002</v>
      </c>
      <c r="D10" s="224">
        <f>'forutsetninger 1'!H31*'forutsetninger 1'!$R$8</f>
        <v>66.674733449999991</v>
      </c>
      <c r="E10" s="224">
        <f>'forutsetninger 1'!I31*'forutsetninger 1'!$R$8</f>
        <v>67.119231673000002</v>
      </c>
      <c r="F10" s="224">
        <f>'forutsetninger 1'!J31*'forutsetninger 1'!$R$8</f>
        <v>62.229751219999997</v>
      </c>
      <c r="G10" s="226">
        <f>'forutsetninger 1'!K31*'forutsetninger 1'!$R$8</f>
        <v>61.340754773999997</v>
      </c>
      <c r="R10" s="215"/>
      <c r="S10" s="215"/>
      <c r="T10" s="215"/>
      <c r="U10" s="215"/>
      <c r="V10" s="215"/>
    </row>
    <row r="11" spans="2:22" ht="21.75" customHeight="1">
      <c r="B11" s="230" t="s">
        <v>10</v>
      </c>
      <c r="C11" s="233">
        <f>'forutsetninger 1'!G31*'forutsetninger 1'!$R$9</f>
        <v>0.30074560619999996</v>
      </c>
      <c r="D11" s="233">
        <f>'forutsetninger 1'!H31*'forutsetninger 1'!$R$9</f>
        <v>0.28372227</v>
      </c>
      <c r="E11" s="233">
        <f>'forutsetninger 1'!I31*'forutsetninger 1'!$R$9</f>
        <v>0.28561375179999998</v>
      </c>
      <c r="F11" s="233">
        <f>'forutsetninger 1'!J31*'forutsetninger 1'!$R$9</f>
        <v>0.264807452</v>
      </c>
      <c r="G11" s="237">
        <f>'forutsetninger 1'!K31*'forutsetninger 1'!$R$9</f>
        <v>0.26102448839999998</v>
      </c>
      <c r="R11" s="215"/>
      <c r="S11" s="215"/>
      <c r="T11" s="215"/>
      <c r="U11" s="215"/>
      <c r="V11" s="215"/>
    </row>
    <row r="12" spans="2:22" ht="21" customHeight="1">
      <c r="B12" s="70"/>
      <c r="C12" s="70"/>
      <c r="D12" s="70"/>
      <c r="E12" s="70"/>
      <c r="F12" s="70"/>
      <c r="G12" s="70"/>
      <c r="R12" s="215"/>
      <c r="S12" s="215"/>
      <c r="T12" s="215"/>
      <c r="U12" s="215"/>
      <c r="V12" s="215"/>
    </row>
    <row r="13" spans="2:22" ht="21.75" customHeight="1">
      <c r="B13" s="238" t="s">
        <v>45</v>
      </c>
      <c r="C13" s="40">
        <v>2015</v>
      </c>
      <c r="D13" s="40">
        <v>2016</v>
      </c>
      <c r="E13" s="40">
        <v>2017</v>
      </c>
      <c r="F13" s="40">
        <v>2018</v>
      </c>
      <c r="G13" s="41">
        <v>2019</v>
      </c>
      <c r="R13" s="215"/>
      <c r="S13" s="215"/>
      <c r="T13" s="215"/>
      <c r="U13" s="215"/>
      <c r="V13" s="215"/>
    </row>
    <row r="14" spans="2:22" ht="21.75" customHeight="1">
      <c r="B14" s="239" t="s">
        <v>46</v>
      </c>
      <c r="C14" s="240">
        <f>'forutsetninger 1'!G23</f>
        <v>45572.919236417038</v>
      </c>
      <c r="D14" s="240">
        <f>'forutsetninger 1'!H23</f>
        <v>58504.932099999991</v>
      </c>
      <c r="E14" s="240">
        <f>'forutsetninger 1'!I23</f>
        <v>58922.302599999995</v>
      </c>
      <c r="F14" s="240">
        <f>'forutsetninger 1'!J23</f>
        <v>54832.962199999994</v>
      </c>
      <c r="G14" s="241">
        <f>'forutsetninger 1'!K23</f>
        <v>53823.066699999996</v>
      </c>
      <c r="R14" s="215"/>
      <c r="S14" s="215"/>
      <c r="T14" s="215"/>
      <c r="U14" s="215"/>
      <c r="V14" s="215"/>
    </row>
    <row r="15" spans="2:22" ht="21" customHeight="1">
      <c r="B15" s="242" t="s">
        <v>48</v>
      </c>
      <c r="C15" s="425" t="s">
        <v>22</v>
      </c>
      <c r="D15" s="426"/>
      <c r="E15" s="426"/>
      <c r="F15" s="426"/>
      <c r="G15" s="427"/>
      <c r="R15" s="215"/>
      <c r="S15" s="215"/>
      <c r="T15" s="215"/>
      <c r="U15" s="215"/>
      <c r="V15" s="215"/>
    </row>
    <row r="16" spans="2:22" ht="21" customHeight="1">
      <c r="B16" s="243" t="s">
        <v>101</v>
      </c>
      <c r="C16" s="224">
        <f>$C$14*'forutsetninger 2'!C11</f>
        <v>10026.042232011749</v>
      </c>
      <c r="D16" s="224">
        <f>$D$14*'forutsetninger 2'!C11</f>
        <v>12871.085061999998</v>
      </c>
      <c r="E16" s="224">
        <f>$E$14*'forutsetninger 2'!C11</f>
        <v>12962.906572</v>
      </c>
      <c r="F16" s="224">
        <f>$F$14*'forutsetninger 2'!C11</f>
        <v>12063.251683999999</v>
      </c>
      <c r="G16" s="226">
        <f>$G$14*'forutsetninger 2'!C11</f>
        <v>11841.074674</v>
      </c>
      <c r="R16" s="215"/>
      <c r="S16" s="215"/>
      <c r="T16" s="215"/>
      <c r="U16" s="215"/>
      <c r="V16" s="215"/>
    </row>
    <row r="17" spans="1:22" ht="21" customHeight="1">
      <c r="B17" s="243" t="s">
        <v>102</v>
      </c>
      <c r="C17" s="224">
        <f>$C$14*'forutsetninger 2'!D11</f>
        <v>45.572919236417036</v>
      </c>
      <c r="D17" s="224">
        <f>$D$14*'forutsetninger 2'!D11</f>
        <v>58.504932099999991</v>
      </c>
      <c r="E17" s="224">
        <f>$E$14*'forutsetninger 2'!D11</f>
        <v>58.922302599999995</v>
      </c>
      <c r="F17" s="224">
        <f>$F$14*'forutsetninger 2'!D11</f>
        <v>54.832962199999997</v>
      </c>
      <c r="G17" s="226">
        <f>$G$14*'forutsetninger 2'!D11</f>
        <v>53.823066699999998</v>
      </c>
      <c r="R17" s="215"/>
      <c r="S17" s="215"/>
      <c r="T17" s="215"/>
      <c r="U17" s="215"/>
      <c r="V17" s="215"/>
    </row>
    <row r="18" spans="1:22" ht="21.75" customHeight="1">
      <c r="B18" s="243" t="s">
        <v>55</v>
      </c>
      <c r="C18" s="224">
        <f>$C$14*'forutsetninger 2'!E11</f>
        <v>0</v>
      </c>
      <c r="D18" s="224">
        <f>$D$14*'forutsetninger 2'!E11</f>
        <v>0</v>
      </c>
      <c r="E18" s="224">
        <f>$E$14*'forutsetninger 2'!E11</f>
        <v>0</v>
      </c>
      <c r="F18" s="224">
        <f>$F$14*'forutsetninger 2'!E11</f>
        <v>0</v>
      </c>
      <c r="G18" s="226">
        <f>$G$14*'forutsetninger 2'!E11</f>
        <v>0</v>
      </c>
      <c r="R18" s="215"/>
      <c r="S18" s="215"/>
      <c r="T18" s="215"/>
      <c r="U18" s="215"/>
      <c r="V18" s="215"/>
    </row>
    <row r="19" spans="1:22" ht="21.75" customHeight="1">
      <c r="B19" s="244" t="s">
        <v>103</v>
      </c>
      <c r="C19" s="240">
        <f>$C$14*'forutsetninger 2'!F11/1000</f>
        <v>9205.7296857562415</v>
      </c>
      <c r="D19" s="240">
        <f>$D$14*'forutsetninger 2'!F11/1000</f>
        <v>11817.996284199999</v>
      </c>
      <c r="E19" s="240">
        <f>$E$14*'forutsetninger 2'!F11/1000</f>
        <v>11902.3051252</v>
      </c>
      <c r="F19" s="240">
        <f>$F$14*'forutsetninger 2'!F11/1000</f>
        <v>11076.258364399999</v>
      </c>
      <c r="G19" s="241">
        <f>$G$14*'forutsetninger 2'!F11/1000</f>
        <v>10872.259473399999</v>
      </c>
      <c r="Q19" s="215"/>
      <c r="R19" s="215"/>
      <c r="S19" s="215"/>
      <c r="T19" s="215"/>
      <c r="U19" s="215"/>
      <c r="V19" s="215"/>
    </row>
    <row r="20" spans="1:22" ht="21" customHeight="1">
      <c r="B20" s="90" t="s">
        <v>59</v>
      </c>
      <c r="C20" s="425" t="s">
        <v>18</v>
      </c>
      <c r="D20" s="426"/>
      <c r="E20" s="426"/>
      <c r="F20" s="426"/>
      <c r="G20" s="427"/>
      <c r="Q20" s="215"/>
      <c r="R20" s="215"/>
      <c r="S20" s="215"/>
      <c r="T20" s="215"/>
      <c r="U20" s="215"/>
      <c r="V20" s="215"/>
    </row>
    <row r="21" spans="1:22" ht="21" customHeight="1">
      <c r="B21" s="243" t="s">
        <v>104</v>
      </c>
      <c r="C21" s="224">
        <f>$C$14*'forutsetninger 2'!C7</f>
        <v>15494.792540381794</v>
      </c>
      <c r="D21" s="224">
        <f>$D$14*'forutsetninger 2'!C7</f>
        <v>19891.676914</v>
      </c>
      <c r="E21" s="224">
        <f>$E$14*'forutsetninger 2'!C7</f>
        <v>20033.582883999999</v>
      </c>
      <c r="F21" s="224">
        <f>$F$14*'forutsetninger 2'!C7</f>
        <v>18643.207147999998</v>
      </c>
      <c r="G21" s="226">
        <f>$G$14*'forutsetninger 2'!C7</f>
        <v>18299.842678000001</v>
      </c>
      <c r="H21" s="312"/>
      <c r="Q21" s="215"/>
      <c r="R21" s="215"/>
      <c r="S21" s="215"/>
      <c r="T21" s="215"/>
      <c r="U21" s="215"/>
      <c r="V21" s="215"/>
    </row>
    <row r="22" spans="1:22" ht="21" customHeight="1">
      <c r="B22" s="243" t="s">
        <v>105</v>
      </c>
      <c r="C22" s="224">
        <f>$C$14*'forutsetninger 2'!D7</f>
        <v>1640.6250925110132</v>
      </c>
      <c r="D22" s="224">
        <f>$D$14*'forutsetninger 2'!D7</f>
        <v>2106.1775555999993</v>
      </c>
      <c r="E22" s="224">
        <f>$E$14*'forutsetninger 2'!D7</f>
        <v>2121.2028935999997</v>
      </c>
      <c r="F22" s="224">
        <f>$F$14*'forutsetninger 2'!D7</f>
        <v>1973.9866391999997</v>
      </c>
      <c r="G22" s="226">
        <f>$G$14*'forutsetninger 2'!D7</f>
        <v>1937.6304011999996</v>
      </c>
      <c r="H22" s="312"/>
      <c r="Q22" s="215"/>
      <c r="R22" s="215"/>
      <c r="S22" s="215"/>
      <c r="T22" s="215"/>
      <c r="U22" s="215"/>
      <c r="V22" s="215"/>
    </row>
    <row r="23" spans="1:22" ht="15.75" customHeight="1">
      <c r="B23" s="243" t="s">
        <v>55</v>
      </c>
      <c r="C23" s="224">
        <f>$C$14*'forutsetninger 2'!E7</f>
        <v>227.86459618208519</v>
      </c>
      <c r="D23" s="224">
        <f>$D$14*'forutsetninger 2'!E7</f>
        <v>292.52466049999998</v>
      </c>
      <c r="E23" s="224">
        <f>$E$14*'forutsetninger 2'!E7</f>
        <v>294.611513</v>
      </c>
      <c r="F23" s="224">
        <f>$F$14*'forutsetninger 2'!E7</f>
        <v>274.16481099999999</v>
      </c>
      <c r="G23" s="226">
        <f>$G$14*'forutsetninger 2'!E7</f>
        <v>269.11533349999996</v>
      </c>
      <c r="H23" s="312"/>
      <c r="Q23" s="215"/>
    </row>
    <row r="24" spans="1:22" ht="15.75" customHeight="1">
      <c r="B24" s="245" t="s">
        <v>106</v>
      </c>
      <c r="C24" s="233">
        <f>$C$14*'forutsetninger 2'!F7/1000</f>
        <v>12122.396516886933</v>
      </c>
      <c r="D24" s="233">
        <f>$D$14*'forutsetninger 2'!F7/1000</f>
        <v>15562.311938599998</v>
      </c>
      <c r="E24" s="233">
        <f>$E$14*'forutsetninger 2'!F7/1000</f>
        <v>15673.3324916</v>
      </c>
      <c r="F24" s="233">
        <f>$F$14*'forutsetninger 2'!F7/1000</f>
        <v>14585.567945199999</v>
      </c>
      <c r="G24" s="237">
        <f>$G$14*'forutsetninger 2'!F7/1000</f>
        <v>14316.935742199998</v>
      </c>
      <c r="H24" s="312"/>
      <c r="P24" s="215"/>
      <c r="Q24" s="215"/>
    </row>
    <row r="25" spans="1:22" ht="15.75" customHeight="1">
      <c r="B25" s="428" t="s">
        <v>70</v>
      </c>
      <c r="C25" s="429"/>
      <c r="D25" s="429"/>
      <c r="E25" s="429"/>
      <c r="F25" s="429"/>
      <c r="G25" s="430"/>
      <c r="P25" s="215"/>
      <c r="Q25" s="215"/>
    </row>
    <row r="26" spans="1:22" ht="15.75" customHeight="1">
      <c r="B26" s="122" t="s">
        <v>107</v>
      </c>
      <c r="C26" s="124">
        <f t="shared" ref="C26:G26" si="0">C21-C16</f>
        <v>5468.7503083700449</v>
      </c>
      <c r="D26" s="124">
        <f t="shared" si="0"/>
        <v>7020.5918520000014</v>
      </c>
      <c r="E26" s="124">
        <f t="shared" si="0"/>
        <v>7070.6763119999996</v>
      </c>
      <c r="F26" s="124">
        <f t="shared" si="0"/>
        <v>6579.9554639999988</v>
      </c>
      <c r="G26" s="126">
        <f t="shared" si="0"/>
        <v>6458.7680040000014</v>
      </c>
      <c r="P26" s="215"/>
      <c r="Q26" s="215"/>
    </row>
    <row r="27" spans="1:22" ht="15.75" customHeight="1">
      <c r="B27" s="122" t="s">
        <v>108</v>
      </c>
      <c r="C27" s="124">
        <f t="shared" ref="C27:G27" si="1">C22-C17</f>
        <v>1595.0521732745963</v>
      </c>
      <c r="D27" s="124">
        <f t="shared" si="1"/>
        <v>2047.6726234999994</v>
      </c>
      <c r="E27" s="124">
        <f t="shared" si="1"/>
        <v>2062.2805909999997</v>
      </c>
      <c r="F27" s="124">
        <f t="shared" si="1"/>
        <v>1919.1536769999998</v>
      </c>
      <c r="G27" s="126">
        <f t="shared" si="1"/>
        <v>1883.8073344999996</v>
      </c>
      <c r="P27" s="215"/>
      <c r="Q27" s="215"/>
    </row>
    <row r="28" spans="1:22" ht="15.75" customHeight="1">
      <c r="A28" s="132"/>
      <c r="B28" s="122" t="s">
        <v>55</v>
      </c>
      <c r="C28" s="124">
        <f t="shared" ref="C28:G28" si="2">C23-C18</f>
        <v>227.86459618208519</v>
      </c>
      <c r="D28" s="124">
        <f t="shared" si="2"/>
        <v>292.52466049999998</v>
      </c>
      <c r="E28" s="124">
        <f t="shared" si="2"/>
        <v>294.611513</v>
      </c>
      <c r="F28" s="124">
        <f t="shared" si="2"/>
        <v>274.16481099999999</v>
      </c>
      <c r="G28" s="126">
        <f t="shared" si="2"/>
        <v>269.11533349999996</v>
      </c>
      <c r="P28" s="215"/>
      <c r="Q28" s="215"/>
    </row>
    <row r="29" spans="1:22" ht="15.75" customHeight="1">
      <c r="A29" s="132"/>
      <c r="B29" s="134" t="s">
        <v>109</v>
      </c>
      <c r="C29" s="137">
        <f t="shared" ref="C29:G29" si="3">C24-C19</f>
        <v>2916.6668311306912</v>
      </c>
      <c r="D29" s="137">
        <f t="shared" si="3"/>
        <v>3744.3156543999994</v>
      </c>
      <c r="E29" s="137">
        <f t="shared" si="3"/>
        <v>3771.0273663999997</v>
      </c>
      <c r="F29" s="137">
        <f t="shared" si="3"/>
        <v>3509.3095807999998</v>
      </c>
      <c r="G29" s="140">
        <f t="shared" si="3"/>
        <v>3444.6762687999981</v>
      </c>
      <c r="P29" s="215"/>
      <c r="Q29" s="215"/>
    </row>
    <row r="30" spans="1:22" ht="15.75" customHeight="1">
      <c r="A30" s="132"/>
      <c r="P30" s="215"/>
      <c r="Q30" s="215"/>
    </row>
    <row r="31" spans="1:22" ht="15.75" customHeight="1">
      <c r="P31" s="215"/>
      <c r="Q31" s="215"/>
    </row>
    <row r="32" spans="1:22" ht="15.75" customHeight="1">
      <c r="P32" s="215"/>
      <c r="Q32" s="215"/>
    </row>
    <row r="33" spans="2:17" ht="15.75" customHeight="1">
      <c r="P33" s="215"/>
      <c r="Q33" s="215"/>
    </row>
    <row r="34" spans="2:17" ht="15.75" customHeight="1">
      <c r="B34" s="18"/>
      <c r="C34" s="18"/>
      <c r="D34" s="18"/>
      <c r="E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2:17" ht="21" customHeight="1">
      <c r="B35" s="31"/>
      <c r="C35" s="18"/>
      <c r="D35" s="18"/>
      <c r="E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2:17" ht="21" customHeight="1">
      <c r="B36" s="31"/>
      <c r="C36" s="18"/>
      <c r="D36" s="18"/>
      <c r="E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2:17" ht="15.75" customHeight="1">
      <c r="B37" s="31"/>
      <c r="C37" s="18"/>
      <c r="D37" s="18"/>
      <c r="E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2:17" ht="15.75" customHeight="1">
      <c r="B38" s="31"/>
      <c r="C38" s="18"/>
      <c r="D38" s="18"/>
      <c r="E38" s="18"/>
    </row>
    <row r="39" spans="2:17" ht="15.75" customHeight="1">
      <c r="B39" s="31"/>
      <c r="C39" s="18"/>
      <c r="D39" s="31"/>
      <c r="E39" s="18"/>
    </row>
    <row r="40" spans="2:17" ht="15.75" customHeight="1">
      <c r="B40" s="31"/>
      <c r="C40" s="18"/>
      <c r="D40" s="31"/>
      <c r="E40" s="18"/>
    </row>
    <row r="41" spans="2:17" ht="15.75" customHeight="1">
      <c r="B41" s="31"/>
      <c r="C41" s="18"/>
      <c r="D41" s="31"/>
      <c r="E41" s="18"/>
    </row>
    <row r="42" spans="2:17" ht="15.75" customHeight="1">
      <c r="B42" s="31"/>
      <c r="C42" s="18"/>
      <c r="D42" s="31"/>
      <c r="E42" s="18"/>
    </row>
    <row r="43" spans="2:17" ht="15.75" customHeight="1">
      <c r="B43" s="18"/>
      <c r="C43" s="18"/>
      <c r="D43" s="18"/>
      <c r="E43" s="18"/>
    </row>
    <row r="44" spans="2:17" ht="15.75" customHeight="1"/>
    <row r="45" spans="2:17" ht="15.75" customHeight="1"/>
    <row r="46" spans="2:17" ht="15.75" customHeight="1"/>
    <row r="47" spans="2:17" ht="15.75" customHeight="1"/>
    <row r="48" spans="2:1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C15:G15"/>
    <mergeCell ref="C20:G20"/>
    <mergeCell ref="B25:G25"/>
  </mergeCells>
  <pageMargins left="0.7" right="0.7" top="0.75" bottom="0.75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V999"/>
  <sheetViews>
    <sheetView workbookViewId="0">
      <selection activeCell="J12" sqref="J12"/>
    </sheetView>
  </sheetViews>
  <sheetFormatPr baseColWidth="10" defaultColWidth="12.6640625" defaultRowHeight="15" customHeight="1"/>
  <cols>
    <col min="1" max="1" width="38.33203125" customWidth="1"/>
    <col min="2" max="2" width="39" customWidth="1"/>
    <col min="3" max="3" width="17.6640625" customWidth="1"/>
    <col min="4" max="4" width="16" customWidth="1"/>
    <col min="5" max="5" width="17.1640625" customWidth="1"/>
    <col min="6" max="6" width="16.1640625" customWidth="1"/>
    <col min="7" max="7" width="14.6640625" customWidth="1"/>
    <col min="8" max="8" width="19" customWidth="1"/>
    <col min="9" max="9" width="9.33203125" customWidth="1"/>
    <col min="10" max="10" width="15.83203125" customWidth="1"/>
    <col min="11" max="11" width="15" customWidth="1"/>
    <col min="12" max="12" width="17" customWidth="1"/>
    <col min="13" max="13" width="15.83203125" customWidth="1"/>
    <col min="14" max="14" width="16.5" customWidth="1"/>
    <col min="15" max="16" width="11.1640625" customWidth="1"/>
    <col min="17" max="17" width="31.6640625" customWidth="1"/>
    <col min="18" max="18" width="27.5" customWidth="1"/>
    <col min="19" max="19" width="12.6640625" customWidth="1"/>
    <col min="20" max="21" width="9.33203125" customWidth="1"/>
    <col min="22" max="22" width="11.6640625" customWidth="1"/>
    <col min="23" max="26" width="9.33203125" customWidth="1"/>
  </cols>
  <sheetData>
    <row r="3" spans="2:22" ht="15.75" customHeight="1">
      <c r="B3" s="202" t="s">
        <v>24</v>
      </c>
      <c r="C3" s="203">
        <v>2015</v>
      </c>
      <c r="D3" s="203">
        <v>2016</v>
      </c>
      <c r="E3" s="203">
        <v>2017</v>
      </c>
      <c r="F3" s="203">
        <v>2018</v>
      </c>
      <c r="G3" s="204">
        <v>2019</v>
      </c>
      <c r="Q3" s="18"/>
      <c r="R3" s="18"/>
      <c r="S3" s="18"/>
      <c r="T3" s="18"/>
      <c r="U3" s="18"/>
      <c r="V3" s="18"/>
    </row>
    <row r="4" spans="2:22" ht="21.75" customHeight="1">
      <c r="B4" s="205" t="s">
        <v>25</v>
      </c>
      <c r="C4" s="206">
        <f>'forutsetninger 1'!$C$36*'forutsetninger 1'!G16</f>
        <v>294.05967694566817</v>
      </c>
      <c r="D4" s="206">
        <f>'forutsetninger 1'!$C$36*'forutsetninger 1'!H16</f>
        <v>383.26035242290749</v>
      </c>
      <c r="E4" s="206">
        <f>'forutsetninger 1'!$C$36*'forutsetninger 1'!I16</f>
        <v>400.38713656387665</v>
      </c>
      <c r="F4" s="206">
        <f>'forutsetninger 1'!$C$36*'forutsetninger 1'!J16</f>
        <v>385.08713656387664</v>
      </c>
      <c r="G4" s="209">
        <f>'forutsetninger 1'!$C$36*'forutsetninger 1'!K16</f>
        <v>320.63577092511014</v>
      </c>
      <c r="Q4" s="210"/>
      <c r="R4" s="210"/>
      <c r="S4" s="210"/>
      <c r="T4" s="210"/>
      <c r="U4" s="210"/>
      <c r="V4" s="210"/>
    </row>
    <row r="5" spans="2:22" ht="21.75" customHeight="1">
      <c r="B5" s="54" t="s">
        <v>37</v>
      </c>
      <c r="C5" s="40">
        <v>2015</v>
      </c>
      <c r="D5" s="40">
        <v>2016</v>
      </c>
      <c r="E5" s="40">
        <v>2017</v>
      </c>
      <c r="F5" s="40">
        <v>2018</v>
      </c>
      <c r="G5" s="41">
        <v>2019</v>
      </c>
      <c r="Q5" s="210"/>
      <c r="R5" s="210"/>
      <c r="S5" s="210"/>
      <c r="T5" s="210"/>
      <c r="U5" s="210"/>
      <c r="V5" s="210"/>
    </row>
    <row r="6" spans="2:22" ht="21" customHeight="1">
      <c r="B6" s="205" t="s">
        <v>25</v>
      </c>
      <c r="C6" s="206">
        <f>'forutsetninger 1'!G16*'forutsetninger 1'!$C$38</f>
        <v>808.66411160058738</v>
      </c>
      <c r="D6" s="206">
        <f>'forutsetninger 1'!H16*'forutsetninger 1'!$C$38</f>
        <v>1053.9659691629954</v>
      </c>
      <c r="E6" s="206">
        <f>'forutsetninger 1'!I16*'forutsetninger 1'!$C$38</f>
        <v>1101.0646255506608</v>
      </c>
      <c r="F6" s="206">
        <f>'forutsetninger 1'!J16*'forutsetninger 1'!$C$38</f>
        <v>1058.9896255506608</v>
      </c>
      <c r="G6" s="209">
        <f>'forutsetninger 1'!K16*'forutsetninger 1'!$C$38</f>
        <v>881.74837004405288</v>
      </c>
      <c r="Q6" s="210"/>
      <c r="R6" s="210"/>
      <c r="S6" s="210"/>
      <c r="T6" s="210"/>
      <c r="U6" s="210"/>
      <c r="V6" s="210"/>
    </row>
    <row r="7" spans="2:22" ht="21.75" customHeight="1">
      <c r="Q7" s="210"/>
      <c r="R7" s="210"/>
      <c r="S7" s="210"/>
      <c r="T7" s="210"/>
      <c r="U7" s="210"/>
      <c r="V7" s="210"/>
    </row>
    <row r="8" spans="2:22" ht="21" customHeight="1">
      <c r="B8" s="218" t="s">
        <v>99</v>
      </c>
      <c r="C8" s="219">
        <v>2015</v>
      </c>
      <c r="D8" s="219">
        <v>2016</v>
      </c>
      <c r="E8" s="219">
        <v>2017</v>
      </c>
      <c r="F8" s="219">
        <v>2018</v>
      </c>
      <c r="G8" s="221">
        <v>2019</v>
      </c>
      <c r="Q8" s="210"/>
      <c r="R8" s="210"/>
      <c r="S8" s="210"/>
      <c r="T8" s="210"/>
      <c r="U8" s="210"/>
      <c r="V8" s="210"/>
    </row>
    <row r="9" spans="2:22" ht="21" customHeight="1">
      <c r="B9" s="223" t="s">
        <v>8</v>
      </c>
      <c r="C9" s="225">
        <f>'forutsetninger 1'!$S$30*'forutsetninger 1'!G32</f>
        <v>583528.39999999991</v>
      </c>
      <c r="D9" s="225">
        <f>'forutsetninger 1'!$S$30*'forutsetninger 1'!H32</f>
        <v>789479.6</v>
      </c>
      <c r="E9" s="225">
        <f>'forutsetninger 1'!$S$30*'forutsetninger 1'!I32</f>
        <v>823804.79999999993</v>
      </c>
      <c r="F9" s="225">
        <f>'forutsetninger 1'!$S$30*'forutsetninger 1'!J32</f>
        <v>789479.6</v>
      </c>
      <c r="G9" s="227">
        <f>'forutsetninger 1'!$S$30*'forutsetninger 1'!K32</f>
        <v>652178.79999999993</v>
      </c>
      <c r="Q9" s="210"/>
      <c r="R9" s="210"/>
      <c r="S9" s="210"/>
      <c r="T9" s="210"/>
      <c r="U9" s="210"/>
      <c r="V9" s="210"/>
    </row>
    <row r="10" spans="2:22" ht="21.75" customHeight="1">
      <c r="B10" s="228" t="s">
        <v>9</v>
      </c>
      <c r="C10" s="229">
        <f>'forutsetninger 1'!$S$31*'forutsetninger 1'!G32</f>
        <v>2544.8999999999996</v>
      </c>
      <c r="D10" s="229">
        <f>'forutsetninger 1'!$S$31*'forutsetninger 1'!H32</f>
        <v>3443.1</v>
      </c>
      <c r="E10" s="229">
        <f>'forutsetninger 1'!$S$31*'forutsetninger 1'!I32</f>
        <v>3592.7999999999997</v>
      </c>
      <c r="F10" s="229">
        <f>'forutsetninger 1'!$S$31*'forutsetninger 1'!J32</f>
        <v>3443.1</v>
      </c>
      <c r="G10" s="232">
        <f>'forutsetninger 1'!$S$31*'forutsetninger 1'!K32</f>
        <v>2844.2999999999997</v>
      </c>
      <c r="Q10" s="210"/>
      <c r="R10" s="210"/>
      <c r="S10" s="210"/>
      <c r="T10" s="210"/>
      <c r="U10" s="210"/>
      <c r="V10" s="210"/>
    </row>
    <row r="11" spans="2:22" ht="21" customHeight="1">
      <c r="B11" s="234" t="s">
        <v>10</v>
      </c>
      <c r="C11" s="236">
        <f>'forutsetninger 1'!G32*'forutsetninger 1'!$S$32</f>
        <v>57.8</v>
      </c>
      <c r="D11" s="236">
        <f>'forutsetninger 1'!H32*'forutsetninger 1'!$S$32</f>
        <v>78.2</v>
      </c>
      <c r="E11" s="236">
        <f>'forutsetninger 1'!I32*'forutsetninger 1'!$S$32</f>
        <v>81.599999999999994</v>
      </c>
      <c r="F11" s="236">
        <f>'forutsetninger 1'!J32*'forutsetninger 1'!$S$32</f>
        <v>78.2</v>
      </c>
      <c r="G11" s="248">
        <f>'forutsetninger 1'!K32*'forutsetninger 1'!$S$32</f>
        <v>64.599999999999994</v>
      </c>
      <c r="Q11" s="210"/>
      <c r="R11" s="210"/>
      <c r="S11" s="210"/>
      <c r="T11" s="210"/>
      <c r="U11" s="210"/>
      <c r="V11" s="210"/>
    </row>
    <row r="12" spans="2:22" ht="21.75" customHeight="1">
      <c r="B12" s="70"/>
      <c r="C12" s="70"/>
      <c r="D12" s="70"/>
      <c r="E12" s="70"/>
      <c r="F12" s="70"/>
      <c r="G12" s="70"/>
      <c r="P12" s="18"/>
      <c r="Q12" s="210"/>
      <c r="R12" s="210"/>
      <c r="S12" s="210"/>
      <c r="T12" s="210"/>
      <c r="U12" s="210"/>
      <c r="V12" s="210"/>
    </row>
    <row r="13" spans="2:22" ht="21.75" customHeight="1">
      <c r="B13" s="70"/>
      <c r="C13" s="70"/>
      <c r="D13" s="70"/>
      <c r="E13" s="70"/>
      <c r="F13" s="70"/>
      <c r="G13" s="70"/>
      <c r="Q13" s="210"/>
      <c r="R13" s="210"/>
      <c r="S13" s="210"/>
      <c r="T13" s="210"/>
      <c r="U13" s="210"/>
      <c r="V13" s="210"/>
    </row>
    <row r="14" spans="2:22">
      <c r="B14" s="18"/>
      <c r="C14" s="18"/>
      <c r="D14" s="18"/>
      <c r="E14" s="18"/>
      <c r="F14" s="18"/>
      <c r="G14" s="70"/>
    </row>
    <row r="15" spans="2:22">
      <c r="B15" s="238" t="s">
        <v>45</v>
      </c>
      <c r="C15" s="40">
        <v>2015</v>
      </c>
      <c r="D15" s="40">
        <v>2016</v>
      </c>
      <c r="E15" s="40">
        <v>2017</v>
      </c>
      <c r="F15" s="40">
        <v>2018</v>
      </c>
      <c r="G15" s="41">
        <v>2019</v>
      </c>
    </row>
    <row r="16" spans="2:22">
      <c r="B16" s="251" t="s">
        <v>46</v>
      </c>
      <c r="C16" s="253">
        <f>'forutsetninger 1'!G24</f>
        <v>100715.43935389133</v>
      </c>
      <c r="D16" s="253">
        <f>'forutsetninger 1'!H24</f>
        <v>178785.20550000001</v>
      </c>
      <c r="E16" s="253">
        <f>'forutsetninger 1'!I24</f>
        <v>186774.59339999998</v>
      </c>
      <c r="F16" s="253">
        <f>'forutsetninger 1'!J24</f>
        <v>179637.37289999999</v>
      </c>
      <c r="G16" s="255">
        <f>'forutsetninger 1'!K24</f>
        <v>149571.7776</v>
      </c>
    </row>
    <row r="17" spans="1:16">
      <c r="B17" s="90" t="s">
        <v>48</v>
      </c>
      <c r="C17" s="425" t="s">
        <v>22</v>
      </c>
      <c r="D17" s="426"/>
      <c r="E17" s="426"/>
      <c r="F17" s="426"/>
      <c r="G17" s="427"/>
    </row>
    <row r="18" spans="1:16" ht="24">
      <c r="B18" s="257" t="s">
        <v>110</v>
      </c>
      <c r="C18" s="260">
        <f>C16*'forutsetninger 2'!$C$11</f>
        <v>22157.396657856094</v>
      </c>
      <c r="D18" s="260">
        <f>D16*'forutsetninger 2'!$C$11</f>
        <v>39332.745210000001</v>
      </c>
      <c r="E18" s="260">
        <f>E16*'forutsetninger 2'!$C$11</f>
        <v>41090.410548</v>
      </c>
      <c r="F18" s="260">
        <f>F16*'forutsetninger 2'!$C$11</f>
        <v>39520.222038</v>
      </c>
      <c r="G18" s="263">
        <f>G16*'forutsetninger 2'!$C$11</f>
        <v>32905.791072</v>
      </c>
      <c r="O18" s="264"/>
      <c r="P18" s="210"/>
    </row>
    <row r="19" spans="1:16" ht="24">
      <c r="B19" s="257" t="s">
        <v>111</v>
      </c>
      <c r="C19" s="260">
        <f>C16*'forutsetninger 2'!$D$11</f>
        <v>100.71543935389133</v>
      </c>
      <c r="D19" s="260">
        <f>D16*'forutsetninger 2'!$D$11</f>
        <v>178.78520550000002</v>
      </c>
      <c r="E19" s="260">
        <f>E16*'forutsetninger 2'!$D$11</f>
        <v>186.77459339999999</v>
      </c>
      <c r="F19" s="260">
        <f>F16*'forutsetninger 2'!$D$11</f>
        <v>179.6373729</v>
      </c>
      <c r="G19" s="263">
        <f>G16*'forutsetninger 2'!$D$11</f>
        <v>149.57177760000002</v>
      </c>
      <c r="O19" s="264"/>
      <c r="P19" s="210"/>
    </row>
    <row r="20" spans="1:16" ht="15.75" customHeight="1">
      <c r="B20" s="257" t="s">
        <v>55</v>
      </c>
      <c r="C20" s="260">
        <f>C16*'forutsetninger 2'!$E$11</f>
        <v>0</v>
      </c>
      <c r="D20" s="260">
        <f>D16*'forutsetninger 2'!$E$11</f>
        <v>0</v>
      </c>
      <c r="E20" s="260">
        <f>E16*'forutsetninger 2'!$E$11</f>
        <v>0</v>
      </c>
      <c r="F20" s="260">
        <f>F16*'forutsetninger 2'!$E$11</f>
        <v>0</v>
      </c>
      <c r="G20" s="263">
        <f>G16*'forutsetninger 2'!$E$11</f>
        <v>0</v>
      </c>
      <c r="O20" s="264"/>
      <c r="P20" s="210"/>
    </row>
    <row r="21" spans="1:16" ht="15.75" customHeight="1">
      <c r="B21" s="268" t="s">
        <v>112</v>
      </c>
      <c r="C21" s="253">
        <f>C16*'forutsetninger 2'!$F$11/1000</f>
        <v>20344.518749486047</v>
      </c>
      <c r="D21" s="253">
        <f>D16*'forutsetninger 2'!$F$11/1000</f>
        <v>36114.611511000003</v>
      </c>
      <c r="E21" s="253">
        <f>E16*'forutsetninger 2'!$F$11/1000</f>
        <v>37728.467866799998</v>
      </c>
      <c r="F21" s="253">
        <f>F16*'forutsetninger 2'!$F$11/1000</f>
        <v>36286.749325799996</v>
      </c>
      <c r="G21" s="255">
        <f>G16*'forutsetninger 2'!$F$11/1000</f>
        <v>30213.499075199998</v>
      </c>
      <c r="O21" s="264"/>
      <c r="P21" s="210"/>
    </row>
    <row r="22" spans="1:16" ht="15.75" customHeight="1">
      <c r="B22" s="90" t="s">
        <v>59</v>
      </c>
      <c r="C22" s="425" t="s">
        <v>20</v>
      </c>
      <c r="D22" s="426"/>
      <c r="E22" s="426"/>
      <c r="F22" s="426"/>
      <c r="G22" s="427"/>
      <c r="O22" s="264"/>
      <c r="P22" s="210"/>
    </row>
    <row r="23" spans="1:16" ht="15.75" customHeight="1">
      <c r="B23" s="257" t="s">
        <v>114</v>
      </c>
      <c r="C23" s="260">
        <f>C16*'forutsetninger 2'!$C$9</f>
        <v>30214.631806167396</v>
      </c>
      <c r="D23" s="260">
        <f>D16*'forutsetninger 2'!$C$9</f>
        <v>53635.561650000003</v>
      </c>
      <c r="E23" s="260">
        <f>E16*'forutsetninger 2'!$C$9</f>
        <v>56032.378019999996</v>
      </c>
      <c r="F23" s="260">
        <f>F16*'forutsetninger 2'!$C$9</f>
        <v>53891.211869999992</v>
      </c>
      <c r="G23" s="263">
        <f>G16*'forutsetninger 2'!$C$9</f>
        <v>44871.533279999996</v>
      </c>
      <c r="H23" s="313"/>
      <c r="O23" s="264"/>
      <c r="P23" s="210"/>
    </row>
    <row r="24" spans="1:16" ht="15.75" customHeight="1">
      <c r="B24" s="257" t="s">
        <v>116</v>
      </c>
      <c r="C24" s="260">
        <f>C16*'forutsetninger 2'!$D$9</f>
        <v>100.71543935389133</v>
      </c>
      <c r="D24" s="260">
        <f>D16*'forutsetninger 2'!$D$9</f>
        <v>178.78520550000002</v>
      </c>
      <c r="E24" s="260">
        <f>E16*'forutsetninger 2'!$D$9</f>
        <v>186.77459339999999</v>
      </c>
      <c r="F24" s="260">
        <f>F16*'forutsetninger 2'!$D$9</f>
        <v>179.6373729</v>
      </c>
      <c r="G24" s="263">
        <f>G16*'forutsetninger 2'!$D$9</f>
        <v>149.57177760000002</v>
      </c>
      <c r="H24" s="313"/>
      <c r="O24" s="264"/>
    </row>
    <row r="25" spans="1:16" ht="15.75" customHeight="1">
      <c r="B25" s="257" t="s">
        <v>55</v>
      </c>
      <c r="C25" s="260">
        <f>C16*'forutsetninger 2'!$E$9</f>
        <v>0</v>
      </c>
      <c r="D25" s="260">
        <f>D16*'forutsetninger 2'!$E$9</f>
        <v>0</v>
      </c>
      <c r="E25" s="260">
        <f>E16*'forutsetninger 2'!$E$9</f>
        <v>0</v>
      </c>
      <c r="F25" s="260">
        <f>F16*'forutsetninger 2'!$E$9</f>
        <v>0</v>
      </c>
      <c r="G25" s="263">
        <f>G16*'forutsetninger 2'!$E$9</f>
        <v>0</v>
      </c>
      <c r="H25" s="313"/>
    </row>
    <row r="26" spans="1:16" ht="15.75" customHeight="1">
      <c r="B26" s="277" t="s">
        <v>118</v>
      </c>
      <c r="C26" s="279">
        <f>C16*'forutsetninger 2'!$F$9/1000</f>
        <v>23466.697369456677</v>
      </c>
      <c r="D26" s="279">
        <f>D16*'forutsetninger 2'!$F$9/1000</f>
        <v>41656.952881500009</v>
      </c>
      <c r="E26" s="279">
        <f>E16*'forutsetninger 2'!$F$9/1000</f>
        <v>43518.480262199999</v>
      </c>
      <c r="F26" s="279">
        <f>F16*'forutsetninger 2'!$F$9/1000</f>
        <v>41855.507885699997</v>
      </c>
      <c r="G26" s="281">
        <f>G16*'forutsetninger 2'!$F$9/1000</f>
        <v>34850.224180799996</v>
      </c>
      <c r="H26" s="313"/>
    </row>
    <row r="27" spans="1:16" ht="15.75" customHeight="1">
      <c r="A27" s="18"/>
      <c r="B27" s="428" t="s">
        <v>70</v>
      </c>
      <c r="C27" s="429"/>
      <c r="D27" s="429"/>
      <c r="E27" s="429"/>
      <c r="F27" s="429"/>
      <c r="G27" s="430"/>
      <c r="H27" s="282"/>
      <c r="O27" s="282"/>
    </row>
    <row r="28" spans="1:16" ht="15.75" customHeight="1">
      <c r="A28" s="18"/>
      <c r="B28" s="122" t="s">
        <v>121</v>
      </c>
      <c r="C28" s="124">
        <f t="shared" ref="C28:G28" si="0">C23-C18</f>
        <v>8057.2351483113016</v>
      </c>
      <c r="D28" s="124">
        <f t="shared" si="0"/>
        <v>14302.816440000002</v>
      </c>
      <c r="E28" s="124">
        <f t="shared" si="0"/>
        <v>14941.967471999997</v>
      </c>
      <c r="F28" s="124">
        <f t="shared" si="0"/>
        <v>14370.989831999992</v>
      </c>
      <c r="G28" s="126">
        <f t="shared" si="0"/>
        <v>11965.742207999996</v>
      </c>
      <c r="H28" s="282"/>
      <c r="O28" s="282"/>
    </row>
    <row r="29" spans="1:16" ht="15.75" customHeight="1">
      <c r="A29" s="18"/>
      <c r="B29" s="122" t="s">
        <v>123</v>
      </c>
      <c r="C29" s="124">
        <f t="shared" ref="C29:G29" si="1">C24-C19</f>
        <v>0</v>
      </c>
      <c r="D29" s="124">
        <f t="shared" si="1"/>
        <v>0</v>
      </c>
      <c r="E29" s="124">
        <f t="shared" si="1"/>
        <v>0</v>
      </c>
      <c r="F29" s="124">
        <f t="shared" si="1"/>
        <v>0</v>
      </c>
      <c r="G29" s="126">
        <f t="shared" si="1"/>
        <v>0</v>
      </c>
      <c r="H29" s="282"/>
      <c r="O29" s="282"/>
    </row>
    <row r="30" spans="1:16" ht="15.75" customHeight="1">
      <c r="A30" s="18"/>
      <c r="B30" s="122" t="s">
        <v>55</v>
      </c>
      <c r="C30" s="124">
        <f t="shared" ref="C30:G30" si="2">C25-C20</f>
        <v>0</v>
      </c>
      <c r="D30" s="124">
        <f t="shared" si="2"/>
        <v>0</v>
      </c>
      <c r="E30" s="124">
        <f t="shared" si="2"/>
        <v>0</v>
      </c>
      <c r="F30" s="124">
        <f t="shared" si="2"/>
        <v>0</v>
      </c>
      <c r="G30" s="126">
        <f t="shared" si="2"/>
        <v>0</v>
      </c>
      <c r="O30" s="282"/>
    </row>
    <row r="31" spans="1:16" ht="15.75" customHeight="1">
      <c r="A31" s="18"/>
      <c r="B31" s="134" t="s">
        <v>124</v>
      </c>
      <c r="C31" s="137">
        <f t="shared" ref="C31:G31" si="3">C26-C21</f>
        <v>3122.1786199706294</v>
      </c>
      <c r="D31" s="137">
        <f t="shared" si="3"/>
        <v>5542.3413705000057</v>
      </c>
      <c r="E31" s="137">
        <f t="shared" si="3"/>
        <v>5790.012395400001</v>
      </c>
      <c r="F31" s="137">
        <f t="shared" si="3"/>
        <v>5568.7585599000013</v>
      </c>
      <c r="G31" s="140">
        <f t="shared" si="3"/>
        <v>4636.7251055999986</v>
      </c>
      <c r="O31" s="282"/>
    </row>
    <row r="32" spans="1:16" ht="15.75" customHeight="1">
      <c r="A32" s="18"/>
    </row>
    <row r="33" spans="1:15" ht="15.75" customHeight="1">
      <c r="A33" s="18"/>
    </row>
    <row r="34" spans="1:15" ht="21" customHeight="1">
      <c r="A34" s="18"/>
      <c r="B34" s="31"/>
      <c r="C34" s="18"/>
      <c r="D34" s="18"/>
      <c r="E34" s="18"/>
      <c r="O34" s="282"/>
    </row>
    <row r="35" spans="1:15" ht="21" customHeight="1">
      <c r="A35" s="18"/>
      <c r="B35" s="31"/>
      <c r="C35" s="18"/>
      <c r="D35" s="18"/>
      <c r="E35" s="18"/>
      <c r="O35" s="282"/>
    </row>
    <row r="36" spans="1:15" ht="15.75" customHeight="1">
      <c r="A36" s="18"/>
      <c r="B36" s="31"/>
      <c r="C36" s="18"/>
      <c r="D36" s="18"/>
      <c r="E36" s="18"/>
      <c r="O36" s="282"/>
    </row>
    <row r="37" spans="1:15" ht="15.75" customHeight="1">
      <c r="A37" s="18"/>
      <c r="B37" s="31"/>
      <c r="C37" s="18"/>
      <c r="D37" s="18"/>
      <c r="E37" s="18"/>
      <c r="O37" s="282"/>
    </row>
    <row r="38" spans="1:15" ht="15.75" customHeight="1">
      <c r="A38" s="18"/>
      <c r="B38" s="31"/>
      <c r="C38" s="18"/>
      <c r="D38" s="31"/>
      <c r="E38" s="18"/>
      <c r="O38" s="282"/>
    </row>
    <row r="39" spans="1:15" ht="15.75" customHeight="1">
      <c r="A39" s="18"/>
      <c r="B39" s="31"/>
      <c r="C39" s="18"/>
      <c r="D39" s="31"/>
      <c r="E39" s="18"/>
      <c r="O39" s="282"/>
    </row>
    <row r="40" spans="1:15" ht="15.75" customHeight="1">
      <c r="A40" s="18"/>
      <c r="B40" s="31"/>
      <c r="C40" s="18"/>
      <c r="D40" s="31"/>
      <c r="E40" s="18"/>
      <c r="O40" s="282"/>
    </row>
    <row r="41" spans="1:15" ht="15.75" customHeight="1">
      <c r="A41" s="18"/>
      <c r="B41" s="31"/>
      <c r="C41" s="18"/>
      <c r="D41" s="31"/>
      <c r="E41" s="18"/>
      <c r="O41" s="282"/>
    </row>
    <row r="42" spans="1:15" ht="15.75" customHeight="1">
      <c r="O42" s="282"/>
    </row>
    <row r="43" spans="1:15" ht="15.75" customHeight="1">
      <c r="O43" s="282"/>
    </row>
    <row r="44" spans="1:15" ht="15.75" customHeight="1">
      <c r="O44" s="282"/>
    </row>
    <row r="45" spans="1:15" ht="15.75" customHeight="1">
      <c r="O45" s="282"/>
    </row>
    <row r="46" spans="1:15" ht="15.75" customHeight="1">
      <c r="O46" s="282"/>
    </row>
    <row r="47" spans="1:15" ht="15.75" customHeight="1">
      <c r="O47" s="282"/>
    </row>
    <row r="48" spans="1:15" ht="15.75" customHeight="1">
      <c r="O48" s="282"/>
    </row>
    <row r="49" spans="15:15" ht="15.75" customHeight="1">
      <c r="O49" s="282"/>
    </row>
    <row r="50" spans="15:15" ht="15.75" customHeight="1">
      <c r="O50" s="282"/>
    </row>
    <row r="51" spans="15:15" ht="15.75" customHeight="1">
      <c r="O51" s="282"/>
    </row>
    <row r="52" spans="15:15" ht="15.75" customHeight="1">
      <c r="O52" s="282"/>
    </row>
    <row r="53" spans="15:15" ht="15.75" customHeight="1">
      <c r="O53" s="282"/>
    </row>
    <row r="54" spans="15:15" ht="15.75" customHeight="1">
      <c r="O54" s="282"/>
    </row>
    <row r="55" spans="15:15" ht="15.75" customHeight="1">
      <c r="O55" s="282"/>
    </row>
    <row r="56" spans="15:15" ht="15.75" customHeight="1">
      <c r="O56" s="282"/>
    </row>
    <row r="57" spans="15:15" ht="15.75" customHeight="1">
      <c r="O57" s="282"/>
    </row>
    <row r="58" spans="15:15" ht="15.75" customHeight="1">
      <c r="O58" s="282"/>
    </row>
    <row r="59" spans="15:15" ht="15.75" customHeight="1">
      <c r="O59" s="282" t="s">
        <v>127</v>
      </c>
    </row>
    <row r="60" spans="15:15" ht="15.75" customHeight="1"/>
    <row r="61" spans="15:15" ht="15.75" customHeight="1"/>
    <row r="62" spans="15:15" ht="15.75" customHeight="1"/>
    <row r="63" spans="15:15" ht="15.75" customHeight="1"/>
    <row r="64" spans="15:1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3">
    <mergeCell ref="C17:G17"/>
    <mergeCell ref="C22:G22"/>
    <mergeCell ref="B27:G27"/>
  </mergeCells>
  <pageMargins left="0.7" right="0.7" top="0.75" bottom="0.75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Z999"/>
  <sheetViews>
    <sheetView workbookViewId="0">
      <selection activeCell="I15" sqref="I9:I15"/>
    </sheetView>
  </sheetViews>
  <sheetFormatPr baseColWidth="10" defaultColWidth="12.6640625" defaultRowHeight="15" customHeight="1"/>
  <cols>
    <col min="1" max="1" width="37.6640625" customWidth="1"/>
    <col min="2" max="2" width="36.6640625" customWidth="1"/>
    <col min="3" max="3" width="17.1640625" customWidth="1"/>
    <col min="4" max="4" width="17.6640625" customWidth="1"/>
    <col min="5" max="5" width="15" customWidth="1"/>
    <col min="6" max="6" width="14.83203125" customWidth="1"/>
    <col min="7" max="7" width="13.1640625" customWidth="1"/>
    <col min="8" max="9" width="9.33203125" customWidth="1"/>
    <col min="10" max="10" width="20.1640625" customWidth="1"/>
    <col min="11" max="11" width="13.6640625" customWidth="1"/>
    <col min="12" max="12" width="15.5" customWidth="1"/>
    <col min="13" max="13" width="13.1640625" customWidth="1"/>
    <col min="14" max="14" width="16.6640625" customWidth="1"/>
    <col min="15" max="16" width="12.1640625" customWidth="1"/>
    <col min="17" max="17" width="9.33203125" customWidth="1"/>
    <col min="18" max="18" width="25.33203125" customWidth="1"/>
    <col min="19" max="19" width="29.6640625" customWidth="1"/>
    <col min="20" max="20" width="37.33203125" customWidth="1"/>
    <col min="21" max="21" width="16.1640625" customWidth="1"/>
    <col min="22" max="22" width="23.83203125" customWidth="1"/>
    <col min="23" max="26" width="9.33203125" customWidth="1"/>
  </cols>
  <sheetData>
    <row r="2" spans="2:26">
      <c r="B2" s="145"/>
    </row>
    <row r="3" spans="2:26">
      <c r="B3" s="208" t="s">
        <v>24</v>
      </c>
      <c r="C3" s="40">
        <v>2015</v>
      </c>
      <c r="D3" s="40">
        <v>2016</v>
      </c>
      <c r="E3" s="40">
        <v>2017</v>
      </c>
      <c r="F3" s="40">
        <v>2018</v>
      </c>
      <c r="G3" s="41">
        <v>2019</v>
      </c>
    </row>
    <row r="4" spans="2:26" ht="21.75" customHeight="1">
      <c r="B4" s="212" t="s">
        <v>25</v>
      </c>
      <c r="C4" s="213">
        <f>'forutsetninger 1'!$C$36*'forutsetninger 1'!G17</f>
        <v>35.485991189427317</v>
      </c>
      <c r="D4" s="213">
        <f>'forutsetninger 1'!$C$36*'forutsetninger 1'!H17</f>
        <v>42.155007342143911</v>
      </c>
      <c r="E4" s="213">
        <f>'forutsetninger 1'!$C$36*'forutsetninger 1'!I17</f>
        <v>47.857327459618212</v>
      </c>
      <c r="F4" s="213">
        <f>'forutsetninger 1'!$C$36*'forutsetninger 1'!J17</f>
        <v>73.192980910425845</v>
      </c>
      <c r="G4" s="216">
        <f>'forutsetninger 1'!$C$36*'forutsetninger 1'!K17</f>
        <v>29.923641703377385</v>
      </c>
      <c r="Q4" s="217"/>
      <c r="R4" s="217"/>
      <c r="S4" s="217"/>
      <c r="T4" s="217"/>
      <c r="U4" s="217"/>
      <c r="V4" s="217"/>
      <c r="W4" s="18"/>
      <c r="X4" s="18"/>
      <c r="Y4" s="18"/>
      <c r="Z4" s="18"/>
    </row>
    <row r="5" spans="2:26" ht="21.75" customHeight="1">
      <c r="B5" s="54" t="s">
        <v>37</v>
      </c>
      <c r="C5" s="40">
        <v>2015</v>
      </c>
      <c r="D5" s="40">
        <v>2016</v>
      </c>
      <c r="E5" s="40">
        <v>2017</v>
      </c>
      <c r="F5" s="40">
        <v>2018</v>
      </c>
      <c r="G5" s="41">
        <v>2019</v>
      </c>
      <c r="Q5" s="217"/>
      <c r="R5" s="217"/>
      <c r="S5" s="217"/>
      <c r="T5" s="217"/>
      <c r="U5" s="217"/>
      <c r="V5" s="217"/>
      <c r="W5" s="18"/>
      <c r="X5" s="18"/>
      <c r="Y5" s="18"/>
      <c r="Z5" s="18"/>
    </row>
    <row r="6" spans="2:26" ht="24">
      <c r="B6" s="212" t="s">
        <v>25</v>
      </c>
      <c r="C6" s="213">
        <f>'forutsetninger 1'!G17*'forutsetninger 1'!$C$38</f>
        <v>97.586475770925119</v>
      </c>
      <c r="D6" s="213">
        <f>'forutsetninger 1'!H17*'forutsetninger 1'!$C$38</f>
        <v>115.92627019089575</v>
      </c>
      <c r="E6" s="213">
        <f>'forutsetninger 1'!I17*'forutsetninger 1'!$C$38</f>
        <v>131.60765051395006</v>
      </c>
      <c r="F6" s="213">
        <f>'forutsetninger 1'!J17*'forutsetninger 1'!$C$38</f>
        <v>201.28069750367106</v>
      </c>
      <c r="G6" s="216">
        <f>'forutsetninger 1'!K17*'forutsetninger 1'!$C$38</f>
        <v>82.290014684287812</v>
      </c>
      <c r="I6" s="18"/>
      <c r="J6" s="18"/>
      <c r="K6" s="18"/>
      <c r="L6" s="18"/>
      <c r="M6" s="18"/>
      <c r="N6" s="18"/>
      <c r="O6" s="18"/>
      <c r="P6" s="18"/>
      <c r="Q6" s="217"/>
      <c r="R6" s="217"/>
      <c r="S6" s="217"/>
      <c r="T6" s="217"/>
      <c r="U6" s="217"/>
      <c r="V6" s="217"/>
      <c r="W6" s="18"/>
      <c r="X6" s="18"/>
      <c r="Y6" s="18"/>
      <c r="Z6" s="18"/>
    </row>
    <row r="7" spans="2:26" ht="24">
      <c r="I7" s="231"/>
      <c r="J7" s="18"/>
      <c r="K7" s="235"/>
      <c r="L7" s="246"/>
      <c r="M7" s="247"/>
      <c r="N7" s="247"/>
      <c r="O7" s="18"/>
      <c r="P7" s="247"/>
      <c r="Q7" s="18"/>
      <c r="R7" s="249"/>
      <c r="S7" s="249"/>
      <c r="T7" s="249"/>
      <c r="U7" s="249"/>
      <c r="V7" s="217"/>
      <c r="W7" s="18"/>
      <c r="X7" s="18"/>
      <c r="Y7" s="18"/>
      <c r="Z7" s="18"/>
    </row>
    <row r="8" spans="2:26" ht="24">
      <c r="B8" s="218" t="s">
        <v>100</v>
      </c>
      <c r="C8" s="219">
        <v>2015</v>
      </c>
      <c r="D8" s="219">
        <v>2016</v>
      </c>
      <c r="E8" s="219">
        <v>2017</v>
      </c>
      <c r="F8" s="219">
        <v>2018</v>
      </c>
      <c r="G8" s="221">
        <v>2019</v>
      </c>
      <c r="I8" s="231"/>
      <c r="J8" s="18"/>
      <c r="K8" s="235"/>
      <c r="L8" s="246"/>
      <c r="M8" s="247"/>
      <c r="N8" s="247"/>
      <c r="O8" s="18"/>
      <c r="P8" s="247"/>
      <c r="Q8" s="18"/>
      <c r="R8" s="249"/>
      <c r="S8" s="249"/>
      <c r="T8" s="249"/>
      <c r="U8" s="249"/>
      <c r="V8" s="217"/>
      <c r="W8" s="18"/>
      <c r="X8" s="18"/>
      <c r="Y8" s="18"/>
      <c r="Z8" s="18"/>
    </row>
    <row r="9" spans="2:26">
      <c r="B9" s="250" t="s">
        <v>8</v>
      </c>
      <c r="C9" s="252">
        <f>'forutsetninger 1'!G33*'forutsetninger 1'!$R$14</f>
        <v>4865.5996114050004</v>
      </c>
      <c r="D9" s="252">
        <f>'forutsetninger 1'!H33*'forutsetninger 1'!$R$14</f>
        <v>5770.8274460849998</v>
      </c>
      <c r="E9" s="252">
        <f>'forutsetninger 1'!I33*'forutsetninger 1'!$R$14</f>
        <v>6449.7483220949998</v>
      </c>
      <c r="F9" s="252">
        <f>'forutsetninger 1'!J33*'forutsetninger 1'!$R$14</f>
        <v>9957.5061814799992</v>
      </c>
      <c r="G9" s="254">
        <f>'forutsetninger 1'!K33*'forutsetninger 1'!$R$14</f>
        <v>4073.5252560600002</v>
      </c>
      <c r="I9" s="231"/>
      <c r="J9" s="18"/>
      <c r="K9" s="235"/>
      <c r="L9" s="246"/>
      <c r="M9" s="247"/>
      <c r="N9" s="247"/>
      <c r="O9" s="18"/>
      <c r="P9" s="247"/>
      <c r="Q9" s="18"/>
      <c r="R9" s="249"/>
      <c r="S9" s="249"/>
      <c r="T9" s="249"/>
      <c r="U9" s="249"/>
      <c r="V9" s="18"/>
      <c r="W9" s="18"/>
      <c r="X9" s="18"/>
      <c r="Y9" s="18"/>
      <c r="Z9" s="18"/>
    </row>
    <row r="10" spans="2:26">
      <c r="B10" s="250" t="s">
        <v>9</v>
      </c>
      <c r="C10" s="252">
        <f>'forutsetninger 1'!G33*'forutsetninger 1'!$R$15</f>
        <v>7.2345201435000002</v>
      </c>
      <c r="D10" s="252">
        <f>'forutsetninger 1'!H33*'forutsetninger 1'!$R$15</f>
        <v>8.5804773794999996</v>
      </c>
      <c r="E10" s="252">
        <f>'forutsetninger 1'!I33*'forutsetninger 1'!$R$15</f>
        <v>9.5899453065000007</v>
      </c>
      <c r="F10" s="252">
        <f>'forutsetninger 1'!J33*'forutsetninger 1'!$R$15</f>
        <v>14.805529596000001</v>
      </c>
      <c r="G10" s="254">
        <f>'forutsetninger 1'!K33*'forutsetninger 1'!$R$15</f>
        <v>6.0568075620000004</v>
      </c>
      <c r="I10" s="231"/>
      <c r="J10" s="18"/>
      <c r="K10" s="235"/>
      <c r="L10" s="246"/>
      <c r="M10" s="247"/>
      <c r="N10" s="247"/>
      <c r="O10" s="18"/>
      <c r="P10" s="247"/>
      <c r="Q10" s="18"/>
      <c r="R10" s="249"/>
      <c r="S10" s="249"/>
      <c r="T10" s="249"/>
      <c r="U10" s="249"/>
      <c r="V10" s="18"/>
      <c r="W10" s="18"/>
      <c r="X10" s="18"/>
      <c r="Y10" s="18"/>
      <c r="Z10" s="18"/>
    </row>
    <row r="11" spans="2:26">
      <c r="B11" s="259" t="s">
        <v>10</v>
      </c>
      <c r="C11" s="262">
        <f>'forutsetninger 1'!G33*'forutsetninger 1'!$R$16</f>
        <v>3.0785192099999997E-2</v>
      </c>
      <c r="D11" s="262">
        <f>'forutsetninger 1'!H33*'forutsetninger 1'!$R$16</f>
        <v>3.6512669699999993E-2</v>
      </c>
      <c r="E11" s="262">
        <f>'forutsetninger 1'!I33*'forutsetninger 1'!$R$16</f>
        <v>4.0808277899999995E-2</v>
      </c>
      <c r="F11" s="262">
        <f>'forutsetninger 1'!J33*'forutsetninger 1'!$R$16</f>
        <v>6.3002253599999988E-2</v>
      </c>
      <c r="G11" s="265">
        <f>'forutsetninger 1'!K33*'forutsetninger 1'!$R$16</f>
        <v>2.5773649199999998E-2</v>
      </c>
      <c r="I11" s="231"/>
      <c r="J11" s="18"/>
      <c r="K11" s="235"/>
      <c r="L11" s="246"/>
      <c r="M11" s="247"/>
      <c r="N11" s="247"/>
      <c r="O11" s="18"/>
      <c r="P11" s="247"/>
      <c r="Q11" s="18"/>
      <c r="R11" s="249"/>
      <c r="S11" s="249"/>
      <c r="T11" s="249"/>
      <c r="U11" s="249"/>
      <c r="V11" s="18"/>
      <c r="W11" s="18"/>
      <c r="X11" s="18"/>
      <c r="Y11" s="18"/>
      <c r="Z11" s="18"/>
    </row>
    <row r="12" spans="2:26">
      <c r="B12" s="70"/>
      <c r="C12" s="70"/>
      <c r="D12" s="70"/>
      <c r="E12" s="70"/>
      <c r="F12" s="70"/>
      <c r="G12" s="70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2:26">
      <c r="B13" s="70"/>
      <c r="C13" s="70"/>
      <c r="D13" s="70"/>
      <c r="E13" s="70"/>
      <c r="F13" s="70"/>
      <c r="G13" s="70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2:26">
      <c r="B14" s="70"/>
      <c r="C14" s="70"/>
      <c r="D14" s="70"/>
      <c r="E14" s="70"/>
      <c r="F14" s="70"/>
      <c r="G14" s="70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2:26">
      <c r="B15" s="238" t="s">
        <v>45</v>
      </c>
      <c r="C15" s="40">
        <v>2015</v>
      </c>
      <c r="D15" s="40">
        <v>2016</v>
      </c>
      <c r="E15" s="40">
        <v>2017</v>
      </c>
      <c r="F15" s="40">
        <v>2018</v>
      </c>
      <c r="G15" s="41">
        <v>2019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2:26">
      <c r="B16" s="266" t="s">
        <v>46</v>
      </c>
      <c r="C16" s="267">
        <f>'forutsetninger 1'!G25</f>
        <v>12153.951982378854</v>
      </c>
      <c r="D16" s="267">
        <f>'forutsetninger 1'!H25</f>
        <v>19664.678599999999</v>
      </c>
      <c r="E16" s="267">
        <f>'forutsetninger 1'!I25</f>
        <v>22324.725399999999</v>
      </c>
      <c r="F16" s="267">
        <f>'forutsetninger 1'!J25</f>
        <v>34143.427699999993</v>
      </c>
      <c r="G16" s="269">
        <f>'forutsetninger 1'!K25</f>
        <v>13958.93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>
      <c r="B17" s="242" t="s">
        <v>48</v>
      </c>
      <c r="C17" s="425" t="s">
        <v>22</v>
      </c>
      <c r="D17" s="426"/>
      <c r="E17" s="426"/>
      <c r="F17" s="426"/>
      <c r="G17" s="427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7">
      <c r="B18" s="270" t="s">
        <v>113</v>
      </c>
      <c r="C18" s="252">
        <f>$C$16*'forutsetninger 2'!C11</f>
        <v>2673.8694361233479</v>
      </c>
      <c r="D18" s="252">
        <f>$D$16*'forutsetninger 2'!C11</f>
        <v>4326.229292</v>
      </c>
      <c r="E18" s="252">
        <f>$E$16*'forutsetninger 2'!C11</f>
        <v>4911.4395880000002</v>
      </c>
      <c r="F18" s="252">
        <f>$F$16*'forutsetninger 2'!C11</f>
        <v>7511.5540939999983</v>
      </c>
      <c r="G18" s="254">
        <f>$G$16*'forutsetninger 2'!C11</f>
        <v>3070.9646000000002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7">
      <c r="B19" s="270" t="s">
        <v>115</v>
      </c>
      <c r="C19" s="252">
        <f>$C$16*'forutsetninger 2'!D11</f>
        <v>12.153951982378855</v>
      </c>
      <c r="D19" s="252">
        <f>$D$16*'forutsetninger 2'!D11</f>
        <v>19.664678599999998</v>
      </c>
      <c r="E19" s="252">
        <f>$E$16*'forutsetninger 2'!D11</f>
        <v>22.324725399999998</v>
      </c>
      <c r="F19" s="252">
        <f>$F$16*'forutsetninger 2'!D11</f>
        <v>34.143427699999997</v>
      </c>
      <c r="G19" s="254">
        <f>$G$16*'forutsetninger 2'!D11</f>
        <v>13.958930000000001</v>
      </c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15.75" customHeight="1">
      <c r="B20" s="270" t="s">
        <v>55</v>
      </c>
      <c r="C20" s="252">
        <f>$C$16*'forutsetninger 2'!E11</f>
        <v>0</v>
      </c>
      <c r="D20" s="252">
        <f>$D$16*'forutsetninger 2'!E11</f>
        <v>0</v>
      </c>
      <c r="E20" s="252">
        <f>$E$16*'forutsetninger 2'!E11</f>
        <v>0</v>
      </c>
      <c r="F20" s="252">
        <f>$F$16*'forutsetninger 2'!E11</f>
        <v>0</v>
      </c>
      <c r="G20" s="254">
        <f>$G$16*'forutsetninger 2'!E11</f>
        <v>0</v>
      </c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15.75" customHeight="1">
      <c r="B21" s="274" t="s">
        <v>117</v>
      </c>
      <c r="C21" s="267">
        <f>$C$16*'forutsetninger 2'!F11/1000</f>
        <v>2455.0983004405284</v>
      </c>
      <c r="D21" s="267">
        <f>$D$16*'forutsetninger 2'!F11/1000</f>
        <v>3972.2650771999997</v>
      </c>
      <c r="E21" s="267">
        <f>$E$16*'forutsetninger 2'!F11/1000</f>
        <v>4509.5945308</v>
      </c>
      <c r="F21" s="267">
        <f>$F$16*'forutsetninger 2'!F11/1000</f>
        <v>6896.9723953999992</v>
      </c>
      <c r="G21" s="269">
        <f>$G$16*'forutsetninger 2'!F11/1000</f>
        <v>2819.7038600000001</v>
      </c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5.75" customHeight="1">
      <c r="B22" s="90" t="s">
        <v>59</v>
      </c>
      <c r="C22" s="425" t="s">
        <v>18</v>
      </c>
      <c r="D22" s="426"/>
      <c r="E22" s="426"/>
      <c r="F22" s="426"/>
      <c r="G22" s="427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5.75" customHeight="1">
      <c r="B23" s="270" t="s">
        <v>119</v>
      </c>
      <c r="C23" s="252">
        <f>$C$16*'forutsetninger 2'!C7</f>
        <v>4132.3436740088109</v>
      </c>
      <c r="D23" s="252">
        <f>$D$16*'forutsetninger 2'!C7</f>
        <v>6685.9907240000002</v>
      </c>
      <c r="E23" s="252">
        <f>$E$16*'forutsetninger 2'!C7</f>
        <v>7590.4066360000006</v>
      </c>
      <c r="F23" s="252">
        <f>$F$16*'forutsetninger 2'!C7</f>
        <v>11608.765417999999</v>
      </c>
      <c r="G23" s="254">
        <f>$G$16*'forutsetninger 2'!C7</f>
        <v>4746.0362000000005</v>
      </c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5.75" customHeight="1">
      <c r="B24" s="270" t="s">
        <v>120</v>
      </c>
      <c r="C24" s="252">
        <f>$C$16*'forutsetninger 2'!D7</f>
        <v>437.54227136563873</v>
      </c>
      <c r="D24" s="252">
        <f>$D$16*'forutsetninger 2'!D7</f>
        <v>707.92842959999996</v>
      </c>
      <c r="E24" s="252">
        <f>$E$16*'forutsetninger 2'!D7</f>
        <v>803.69011439999997</v>
      </c>
      <c r="F24" s="252">
        <f>$F$16*'forutsetninger 2'!D7</f>
        <v>1229.1633971999997</v>
      </c>
      <c r="G24" s="254">
        <f>$G$16*'forutsetninger 2'!D7</f>
        <v>502.52148</v>
      </c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customHeight="1">
      <c r="B25" s="270" t="s">
        <v>55</v>
      </c>
      <c r="C25" s="252">
        <f>$C$16*'forutsetninger 2'!E7</f>
        <v>60.769759911894269</v>
      </c>
      <c r="D25" s="252">
        <f>$D$16*'forutsetninger 2'!E7</f>
        <v>98.323392999999996</v>
      </c>
      <c r="E25" s="252">
        <f>$E$16*'forutsetninger 2'!E7</f>
        <v>111.623627</v>
      </c>
      <c r="F25" s="252">
        <f>$F$16*'forutsetninger 2'!E7</f>
        <v>170.71713849999998</v>
      </c>
      <c r="G25" s="254">
        <f>$G$16*'forutsetninger 2'!E7</f>
        <v>69.794650000000004</v>
      </c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5.75" customHeight="1">
      <c r="B26" s="285" t="s">
        <v>122</v>
      </c>
      <c r="C26" s="262">
        <f>$C$16*'forutsetninger 2'!F7/1000</f>
        <v>3232.9512273127752</v>
      </c>
      <c r="D26" s="262">
        <f>$D$16*'forutsetninger 2'!F7/1000</f>
        <v>5230.8045075999999</v>
      </c>
      <c r="E26" s="262">
        <f>$E$16*'forutsetninger 2'!F7/1000</f>
        <v>5938.3769563999995</v>
      </c>
      <c r="F26" s="262">
        <f>$F$16*'forutsetninger 2'!F7/1000</f>
        <v>9082.1517681999994</v>
      </c>
      <c r="G26" s="265">
        <f>$G$16*'forutsetninger 2'!F7/1000</f>
        <v>3713.0753799999998</v>
      </c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5.75" customHeight="1">
      <c r="A27" s="287"/>
      <c r="B27" s="428" t="s">
        <v>70</v>
      </c>
      <c r="C27" s="429"/>
      <c r="D27" s="429"/>
      <c r="E27" s="429"/>
      <c r="F27" s="429"/>
      <c r="G27" s="430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15.75" customHeight="1">
      <c r="A28" s="132"/>
      <c r="B28" s="122" t="s">
        <v>125</v>
      </c>
      <c r="C28" s="124">
        <f t="shared" ref="C28:G28" si="0">C23-C18</f>
        <v>1458.474237885463</v>
      </c>
      <c r="D28" s="124">
        <f t="shared" si="0"/>
        <v>2359.7614320000002</v>
      </c>
      <c r="E28" s="124">
        <f t="shared" si="0"/>
        <v>2678.9670480000004</v>
      </c>
      <c r="F28" s="124">
        <f t="shared" si="0"/>
        <v>4097.2113240000008</v>
      </c>
      <c r="G28" s="126">
        <f t="shared" si="0"/>
        <v>1675.0716000000002</v>
      </c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5.75" customHeight="1">
      <c r="A29" s="132"/>
      <c r="B29" s="122" t="s">
        <v>126</v>
      </c>
      <c r="C29" s="124">
        <f t="shared" ref="C29:G29" si="1">C24-C19</f>
        <v>425.3883193832599</v>
      </c>
      <c r="D29" s="124">
        <f t="shared" si="1"/>
        <v>688.26375099999996</v>
      </c>
      <c r="E29" s="124">
        <f t="shared" si="1"/>
        <v>781.36538899999994</v>
      </c>
      <c r="F29" s="124">
        <f t="shared" si="1"/>
        <v>1195.0199694999997</v>
      </c>
      <c r="G29" s="126">
        <f t="shared" si="1"/>
        <v>488.56254999999999</v>
      </c>
      <c r="S29" s="18"/>
      <c r="T29" s="18"/>
      <c r="U29" s="18"/>
      <c r="V29" s="18"/>
      <c r="W29" s="18"/>
      <c r="X29" s="18"/>
      <c r="Y29" s="18"/>
      <c r="Z29" s="18"/>
    </row>
    <row r="30" spans="1:26" ht="15.75" customHeight="1">
      <c r="B30" s="122" t="s">
        <v>55</v>
      </c>
      <c r="C30" s="124">
        <f t="shared" ref="C30:G30" si="2">C25-C20</f>
        <v>60.769759911894269</v>
      </c>
      <c r="D30" s="124">
        <f t="shared" si="2"/>
        <v>98.323392999999996</v>
      </c>
      <c r="E30" s="124">
        <f t="shared" si="2"/>
        <v>111.623627</v>
      </c>
      <c r="F30" s="124">
        <f t="shared" si="2"/>
        <v>170.71713849999998</v>
      </c>
      <c r="G30" s="126">
        <f t="shared" si="2"/>
        <v>69.794650000000004</v>
      </c>
    </row>
    <row r="31" spans="1:26" ht="15.75" customHeight="1">
      <c r="B31" s="134" t="s">
        <v>128</v>
      </c>
      <c r="C31" s="137">
        <f t="shared" ref="C31:G31" si="3">C26-C21</f>
        <v>777.85292687224683</v>
      </c>
      <c r="D31" s="137">
        <f t="shared" si="3"/>
        <v>1258.5394304000001</v>
      </c>
      <c r="E31" s="137">
        <f t="shared" si="3"/>
        <v>1428.7824255999994</v>
      </c>
      <c r="F31" s="137">
        <f t="shared" si="3"/>
        <v>2185.1793728000002</v>
      </c>
      <c r="G31" s="140">
        <f t="shared" si="3"/>
        <v>893.37151999999969</v>
      </c>
    </row>
    <row r="32" spans="1:26" ht="15.75" customHeight="1"/>
    <row r="33" spans="2:5" ht="15.75" customHeight="1">
      <c r="B33" s="18"/>
      <c r="C33" s="18"/>
      <c r="D33" s="18"/>
      <c r="E33" s="18"/>
    </row>
    <row r="34" spans="2:5" ht="21" customHeight="1">
      <c r="B34" s="31"/>
      <c r="C34" s="18"/>
      <c r="D34" s="18"/>
      <c r="E34" s="18"/>
    </row>
    <row r="35" spans="2:5" ht="21" customHeight="1">
      <c r="B35" s="31"/>
      <c r="C35" s="18"/>
      <c r="D35" s="18"/>
      <c r="E35" s="18"/>
    </row>
    <row r="36" spans="2:5" ht="15.75" customHeight="1">
      <c r="B36" s="31"/>
      <c r="C36" s="18"/>
      <c r="D36" s="18"/>
      <c r="E36" s="18"/>
    </row>
    <row r="37" spans="2:5" ht="15.75" customHeight="1">
      <c r="B37" s="31"/>
      <c r="C37" s="18"/>
      <c r="D37" s="18"/>
      <c r="E37" s="18"/>
    </row>
    <row r="38" spans="2:5" ht="15.75" customHeight="1">
      <c r="B38" s="31"/>
      <c r="C38" s="18"/>
      <c r="D38" s="31"/>
      <c r="E38" s="18"/>
    </row>
    <row r="39" spans="2:5" ht="15.75" customHeight="1">
      <c r="B39" s="31"/>
      <c r="C39" s="18"/>
      <c r="D39" s="31"/>
      <c r="E39" s="18"/>
    </row>
    <row r="40" spans="2:5" ht="15.75" customHeight="1">
      <c r="B40" s="31"/>
      <c r="C40" s="18"/>
      <c r="D40" s="31"/>
      <c r="E40" s="18"/>
    </row>
    <row r="41" spans="2:5" ht="15.75" customHeight="1">
      <c r="B41" s="31"/>
      <c r="C41" s="18"/>
      <c r="D41" s="31"/>
      <c r="E41" s="18"/>
    </row>
    <row r="42" spans="2:5" ht="15.75" customHeight="1">
      <c r="B42" s="18"/>
      <c r="C42" s="18"/>
      <c r="D42" s="18"/>
      <c r="E42" s="18"/>
    </row>
    <row r="43" spans="2:5" ht="15.75" customHeight="1">
      <c r="B43" s="18"/>
      <c r="C43" s="18"/>
      <c r="D43" s="18"/>
      <c r="E43" s="18"/>
    </row>
    <row r="44" spans="2:5" ht="15.75" customHeight="1">
      <c r="B44" s="18"/>
      <c r="C44" s="18"/>
      <c r="D44" s="18"/>
      <c r="E44" s="18"/>
    </row>
    <row r="45" spans="2:5" ht="15.75" customHeight="1">
      <c r="B45" s="18"/>
      <c r="C45" s="18"/>
      <c r="D45" s="18"/>
      <c r="E45" s="18"/>
    </row>
    <row r="46" spans="2:5" ht="15.75" customHeight="1">
      <c r="B46" s="18"/>
      <c r="C46" s="18"/>
      <c r="D46" s="18"/>
      <c r="E46" s="18"/>
    </row>
    <row r="47" spans="2:5" ht="15.75" customHeight="1">
      <c r="B47" s="18"/>
      <c r="C47" s="18"/>
      <c r="D47" s="18"/>
      <c r="E47" s="18"/>
    </row>
    <row r="48" spans="2:5" ht="15.75" customHeight="1">
      <c r="B48" s="18"/>
      <c r="C48" s="18"/>
      <c r="D48" s="18"/>
      <c r="E48" s="18"/>
    </row>
    <row r="49" spans="2:5" ht="15.75" customHeight="1">
      <c r="B49" s="18"/>
      <c r="C49" s="18"/>
      <c r="D49" s="18"/>
      <c r="E49" s="18"/>
    </row>
    <row r="50" spans="2:5" ht="15.75" customHeight="1"/>
    <row r="51" spans="2:5" ht="15.75" customHeight="1"/>
    <row r="52" spans="2:5" ht="15.75" customHeight="1"/>
    <row r="53" spans="2:5" ht="15.75" customHeight="1"/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3">
    <mergeCell ref="C17:G17"/>
    <mergeCell ref="C22:G22"/>
    <mergeCell ref="B27:G27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W1000"/>
  <sheetViews>
    <sheetView workbookViewId="0">
      <selection activeCell="I20" sqref="I20"/>
    </sheetView>
  </sheetViews>
  <sheetFormatPr baseColWidth="10" defaultColWidth="12.6640625" defaultRowHeight="15" customHeight="1"/>
  <cols>
    <col min="1" max="1" width="38.6640625" customWidth="1"/>
    <col min="2" max="2" width="37.33203125" customWidth="1"/>
    <col min="3" max="3" width="18.5" customWidth="1"/>
    <col min="4" max="4" width="18.6640625" customWidth="1"/>
    <col min="5" max="5" width="17.83203125" customWidth="1"/>
    <col min="6" max="6" width="17.6640625" customWidth="1"/>
    <col min="7" max="7" width="18.6640625" customWidth="1"/>
    <col min="8" max="8" width="19" customWidth="1"/>
    <col min="9" max="9" width="14" customWidth="1"/>
    <col min="10" max="10" width="20" customWidth="1"/>
    <col min="11" max="11" width="19.1640625" customWidth="1"/>
    <col min="12" max="12" width="19.33203125" customWidth="1"/>
    <col min="13" max="13" width="17.6640625" customWidth="1"/>
    <col min="14" max="14" width="23.6640625" customWidth="1"/>
    <col min="15" max="15" width="14.33203125" customWidth="1"/>
    <col min="16" max="16" width="13.6640625" customWidth="1"/>
    <col min="17" max="17" width="9.33203125" customWidth="1"/>
    <col min="18" max="18" width="30.6640625" customWidth="1"/>
    <col min="19" max="19" width="31.1640625" customWidth="1"/>
    <col min="20" max="20" width="15.1640625" customWidth="1"/>
    <col min="21" max="26" width="9.33203125" customWidth="1"/>
  </cols>
  <sheetData>
    <row r="3" spans="2:23">
      <c r="B3" s="202" t="s">
        <v>24</v>
      </c>
      <c r="C3" s="40">
        <v>2015</v>
      </c>
      <c r="D3" s="40">
        <v>2016</v>
      </c>
      <c r="E3" s="40">
        <v>2017</v>
      </c>
      <c r="F3" s="40">
        <v>2018</v>
      </c>
      <c r="G3" s="41">
        <v>2019</v>
      </c>
    </row>
    <row r="4" spans="2:23" ht="21.75" customHeight="1">
      <c r="B4" s="256" t="s">
        <v>25</v>
      </c>
      <c r="C4" s="258">
        <f>'forutsetninger 1'!$C$36*'forutsetninger 1'!G18</f>
        <v>818.69753303964751</v>
      </c>
      <c r="D4" s="258">
        <f>'forutsetninger 1'!$C$36*'forutsetninger 1'!H18</f>
        <v>851.86123348017622</v>
      </c>
      <c r="E4" s="258">
        <f>'forutsetninger 1'!$C$36*'forutsetninger 1'!I18</f>
        <v>856.84393538913366</v>
      </c>
      <c r="F4" s="258">
        <f>'forutsetninger 1'!$C$36*'forutsetninger 1'!J18</f>
        <v>871.62064610866378</v>
      </c>
      <c r="G4" s="261">
        <f>'forutsetninger 1'!$C$36*'forutsetninger 1'!K18</f>
        <v>859.05491923641705</v>
      </c>
      <c r="Q4" s="18"/>
      <c r="R4" s="18"/>
      <c r="S4" s="18"/>
      <c r="T4" s="18"/>
      <c r="U4" s="18"/>
      <c r="V4" s="18"/>
      <c r="W4" s="18"/>
    </row>
    <row r="5" spans="2:23" ht="21.75" customHeight="1">
      <c r="B5" s="271" t="s">
        <v>37</v>
      </c>
      <c r="C5" s="272">
        <v>2015</v>
      </c>
      <c r="D5" s="40">
        <v>2016</v>
      </c>
      <c r="E5" s="40">
        <v>2017</v>
      </c>
      <c r="F5" s="40">
        <v>2018</v>
      </c>
      <c r="G5" s="41">
        <v>2019</v>
      </c>
      <c r="Q5" s="18"/>
      <c r="R5" s="18"/>
      <c r="S5" s="18"/>
      <c r="T5" s="18"/>
      <c r="U5" s="18"/>
      <c r="V5" s="18"/>
      <c r="W5" s="18"/>
    </row>
    <row r="6" spans="2:23">
      <c r="B6" s="273" t="s">
        <v>25</v>
      </c>
      <c r="C6" s="258">
        <f>'forutsetninger 1'!G18*'forutsetninger 1'!$C$38</f>
        <v>2251.4182158590306</v>
      </c>
      <c r="D6" s="258">
        <f>'forutsetninger 1'!H18*'forutsetninger 1'!$C$38</f>
        <v>2342.6183920704843</v>
      </c>
      <c r="E6" s="258">
        <f>'forutsetninger 1'!I18*'forutsetninger 1'!$C$38</f>
        <v>2356.3208223201177</v>
      </c>
      <c r="F6" s="258">
        <f>'forutsetninger 1'!J18*'forutsetninger 1'!$C$38</f>
        <v>2396.9567767988256</v>
      </c>
      <c r="G6" s="261">
        <f>'forutsetninger 1'!K18*'forutsetninger 1'!$C$38</f>
        <v>2362.4010279001468</v>
      </c>
      <c r="P6" s="18"/>
      <c r="Q6" s="18"/>
      <c r="R6" s="18"/>
      <c r="S6" s="18"/>
      <c r="T6" s="18"/>
      <c r="U6" s="18"/>
      <c r="V6" s="18"/>
    </row>
    <row r="7" spans="2:23">
      <c r="P7" s="18"/>
      <c r="Q7" s="18"/>
      <c r="R7" s="18"/>
      <c r="S7" s="18"/>
      <c r="T7" s="18"/>
      <c r="U7" s="18"/>
      <c r="V7" s="18"/>
    </row>
    <row r="8" spans="2:23">
      <c r="B8" s="275" t="s">
        <v>100</v>
      </c>
      <c r="C8" s="219">
        <v>2015</v>
      </c>
      <c r="D8" s="219">
        <v>2016</v>
      </c>
      <c r="E8" s="219">
        <v>2017</v>
      </c>
      <c r="F8" s="219">
        <v>2018</v>
      </c>
      <c r="G8" s="221">
        <v>2019</v>
      </c>
      <c r="P8" s="18"/>
      <c r="Q8" s="18"/>
      <c r="R8" s="18"/>
      <c r="S8" s="18"/>
      <c r="T8" s="18"/>
      <c r="U8" s="18"/>
      <c r="V8" s="18"/>
    </row>
    <row r="9" spans="2:23">
      <c r="B9" s="276" t="s">
        <v>8</v>
      </c>
      <c r="C9" s="278">
        <f>'forutsetninger 1'!G34*'forutsetninger 1'!$S$42</f>
        <v>2901609.5999999996</v>
      </c>
      <c r="D9" s="278">
        <f>'forutsetninger 1'!H34*'forutsetninger 1'!$S$42</f>
        <v>2962059.8</v>
      </c>
      <c r="E9" s="278">
        <f>'forutsetninger 1'!I34*'forutsetninger 1'!$S$42</f>
        <v>3022510</v>
      </c>
      <c r="F9" s="278">
        <f>'forutsetninger 1'!J34*'forutsetninger 1'!$S$42</f>
        <v>3082960.1999999997</v>
      </c>
      <c r="G9" s="280">
        <f>'forutsetninger 1'!K34*'forutsetninger 1'!$S$42</f>
        <v>3022510</v>
      </c>
      <c r="P9" s="18"/>
      <c r="Q9" s="18"/>
      <c r="R9" s="18"/>
      <c r="S9" s="18"/>
      <c r="T9" s="18"/>
      <c r="U9" s="18"/>
      <c r="V9" s="18"/>
    </row>
    <row r="10" spans="2:23">
      <c r="B10" s="276" t="s">
        <v>9</v>
      </c>
      <c r="C10" s="278">
        <f>'forutsetninger 1'!G34*'forutsetninger 1'!$S$43</f>
        <v>9921.5999999999985</v>
      </c>
      <c r="D10" s="278">
        <f>'forutsetninger 1'!H34*'forutsetninger 1'!$S$43</f>
        <v>10128.299999999999</v>
      </c>
      <c r="E10" s="278">
        <f>'forutsetninger 1'!I34*'forutsetninger 1'!$S$43</f>
        <v>10335</v>
      </c>
      <c r="F10" s="278">
        <f>'forutsetninger 1'!J34*'forutsetninger 1'!$S$43</f>
        <v>10541.699999999999</v>
      </c>
      <c r="G10" s="280">
        <f>'forutsetninger 1'!K34*'forutsetninger 1'!$S$43</f>
        <v>10335</v>
      </c>
      <c r="I10" s="312"/>
      <c r="P10" s="18"/>
      <c r="Q10" s="18"/>
      <c r="R10" s="18"/>
      <c r="S10" s="18"/>
      <c r="T10" s="18"/>
      <c r="U10" s="18"/>
      <c r="V10" s="18"/>
    </row>
    <row r="11" spans="2:23">
      <c r="B11" s="283" t="s">
        <v>10</v>
      </c>
      <c r="C11" s="284">
        <f>'forutsetninger 1'!G34*'forutsetninger 1'!$S$44</f>
        <v>163.19999999999999</v>
      </c>
      <c r="D11" s="284">
        <f>'forutsetninger 1'!H34*'forutsetninger 1'!$S$44</f>
        <v>166.6</v>
      </c>
      <c r="E11" s="284">
        <f>'forutsetninger 1'!I34*'forutsetninger 1'!$S$44</f>
        <v>170</v>
      </c>
      <c r="F11" s="284">
        <f>'forutsetninger 1'!J34*'forutsetninger 1'!$S$44</f>
        <v>173.4</v>
      </c>
      <c r="G11" s="286">
        <f>'forutsetninger 1'!K34*'forutsetninger 1'!$S$44</f>
        <v>170</v>
      </c>
      <c r="I11" s="312"/>
      <c r="P11" s="18"/>
      <c r="Q11" s="18"/>
      <c r="R11" s="18"/>
      <c r="S11" s="18"/>
      <c r="T11" s="18"/>
      <c r="U11" s="18"/>
      <c r="V11" s="18"/>
    </row>
    <row r="12" spans="2:23">
      <c r="B12" s="70"/>
      <c r="C12" s="70"/>
      <c r="D12" s="70"/>
      <c r="E12" s="70"/>
      <c r="F12" s="70"/>
      <c r="G12" s="70"/>
      <c r="P12" s="18"/>
      <c r="Q12" s="18"/>
      <c r="R12" s="18"/>
      <c r="S12" s="18"/>
      <c r="T12" s="18"/>
      <c r="U12" s="18"/>
      <c r="V12" s="18"/>
    </row>
    <row r="13" spans="2:23">
      <c r="B13" s="70"/>
      <c r="C13" s="70"/>
      <c r="D13" s="70"/>
      <c r="E13" s="70"/>
      <c r="F13" s="70"/>
      <c r="G13" s="70"/>
      <c r="P13" s="18"/>
      <c r="Q13" s="18"/>
      <c r="R13" s="18"/>
      <c r="S13" s="18"/>
      <c r="T13" s="18"/>
      <c r="U13" s="18"/>
      <c r="V13" s="18"/>
    </row>
    <row r="14" spans="2:23">
      <c r="B14" s="70"/>
      <c r="C14" s="70"/>
      <c r="D14" s="70"/>
      <c r="E14" s="70"/>
      <c r="F14" s="70"/>
      <c r="G14" s="70"/>
      <c r="Q14" s="18"/>
      <c r="R14" s="18"/>
      <c r="S14" s="18"/>
      <c r="T14" s="18"/>
      <c r="U14" s="18"/>
      <c r="V14" s="18"/>
      <c r="W14" s="18"/>
    </row>
    <row r="15" spans="2:23">
      <c r="B15" s="238" t="s">
        <v>45</v>
      </c>
      <c r="C15" s="40">
        <v>2015</v>
      </c>
      <c r="D15" s="40">
        <v>2016</v>
      </c>
      <c r="E15" s="40">
        <v>2017</v>
      </c>
      <c r="F15" s="40">
        <v>2018</v>
      </c>
      <c r="G15" s="41">
        <v>2019</v>
      </c>
      <c r="Q15" s="18"/>
      <c r="R15" s="18"/>
      <c r="S15" s="18"/>
      <c r="T15" s="18"/>
      <c r="U15" s="18"/>
      <c r="V15" s="18"/>
      <c r="W15" s="18"/>
    </row>
    <row r="16" spans="2:23">
      <c r="B16" s="288" t="s">
        <v>46</v>
      </c>
      <c r="C16" s="289">
        <f>'forutsetninger 1'!G26</f>
        <v>280403.90506607929</v>
      </c>
      <c r="D16" s="289">
        <f>'forutsetninger 1'!H26</f>
        <v>397380.48749999999</v>
      </c>
      <c r="E16" s="289">
        <f>'forutsetninger 1'!I26</f>
        <v>399704.8432</v>
      </c>
      <c r="F16" s="289">
        <f>'forutsetninger 1'!J26</f>
        <v>406597.95709999994</v>
      </c>
      <c r="G16" s="290">
        <f>'forutsetninger 1'!K26</f>
        <v>400736.234</v>
      </c>
      <c r="Q16" s="18"/>
      <c r="R16" s="18"/>
      <c r="S16" s="18"/>
      <c r="T16" s="18"/>
      <c r="U16" s="18"/>
      <c r="V16" s="18"/>
      <c r="W16" s="18"/>
    </row>
    <row r="17" spans="1:16">
      <c r="B17" s="90" t="s">
        <v>48</v>
      </c>
      <c r="C17" s="425" t="s">
        <v>21</v>
      </c>
      <c r="D17" s="426"/>
      <c r="E17" s="426"/>
      <c r="F17" s="426"/>
      <c r="G17" s="427"/>
    </row>
    <row r="18" spans="1:16" ht="17">
      <c r="B18" s="291" t="s">
        <v>129</v>
      </c>
      <c r="C18" s="278">
        <f>C16*'forutsetninger 2'!$C$10</f>
        <v>42060.58575991189</v>
      </c>
      <c r="D18" s="278">
        <f>D16*'forutsetninger 2'!$C$10</f>
        <v>59607.073124999995</v>
      </c>
      <c r="E18" s="278">
        <f>E16*'forutsetninger 2'!$C$10</f>
        <v>59955.726479999998</v>
      </c>
      <c r="F18" s="278">
        <f>F16*'forutsetninger 2'!$C$10</f>
        <v>60989.693564999987</v>
      </c>
      <c r="G18" s="280">
        <f>G16*'forutsetninger 2'!$C$10</f>
        <v>60110.435099999995</v>
      </c>
    </row>
    <row r="19" spans="1:16" ht="17">
      <c r="B19" s="291" t="s">
        <v>130</v>
      </c>
      <c r="C19" s="278">
        <f>C16*'forutsetninger 2'!$D$10</f>
        <v>560.80781013215858</v>
      </c>
      <c r="D19" s="278">
        <f>D16*'forutsetninger 2'!$D$10</f>
        <v>794.76097500000003</v>
      </c>
      <c r="E19" s="278">
        <f>E16*'forutsetninger 2'!$D$10</f>
        <v>799.40968640000006</v>
      </c>
      <c r="F19" s="278">
        <f>F16*'forutsetninger 2'!$D$10</f>
        <v>813.19591419999995</v>
      </c>
      <c r="G19" s="280">
        <f>G16*'forutsetninger 2'!$D$10</f>
        <v>801.47246800000005</v>
      </c>
    </row>
    <row r="20" spans="1:16">
      <c r="B20" s="291" t="s">
        <v>55</v>
      </c>
      <c r="C20" s="278">
        <f>C16*'forutsetninger 2'!$E$10</f>
        <v>0</v>
      </c>
      <c r="D20" s="278">
        <f>D16*'forutsetninger 2'!$E$10</f>
        <v>0</v>
      </c>
      <c r="E20" s="278">
        <f>E16*'forutsetninger 2'!$E$10</f>
        <v>0</v>
      </c>
      <c r="F20" s="278">
        <f>F16*'forutsetninger 2'!$E$10</f>
        <v>0</v>
      </c>
      <c r="G20" s="280">
        <f>G16*'forutsetninger 2'!$E$10</f>
        <v>0</v>
      </c>
    </row>
    <row r="21" spans="1:16" ht="15.75" customHeight="1">
      <c r="B21" s="293" t="s">
        <v>131</v>
      </c>
      <c r="C21" s="289">
        <f>C16*'forutsetninger 2'!$F$10/1000</f>
        <v>56641.588823348015</v>
      </c>
      <c r="D21" s="289">
        <f>D16*'forutsetninger 2'!$F$10/1000</f>
        <v>80270.858475000001</v>
      </c>
      <c r="E21" s="289">
        <f>E16*'forutsetninger 2'!$F$10/1000</f>
        <v>80740.378326399994</v>
      </c>
      <c r="F21" s="289">
        <f>F16*'forutsetninger 2'!$F$10/1000</f>
        <v>82132.787334199995</v>
      </c>
      <c r="G21" s="290">
        <f>G16*'forutsetninger 2'!$F$10/1000</f>
        <v>80948.719268000001</v>
      </c>
    </row>
    <row r="22" spans="1:16" ht="15.75" customHeight="1">
      <c r="B22" s="90" t="s">
        <v>59</v>
      </c>
      <c r="C22" s="425" t="s">
        <v>19</v>
      </c>
      <c r="D22" s="426"/>
      <c r="E22" s="426"/>
      <c r="F22" s="426"/>
      <c r="G22" s="427"/>
    </row>
    <row r="23" spans="1:16" ht="15.75" customHeight="1">
      <c r="B23" s="291" t="s">
        <v>132</v>
      </c>
      <c r="C23" s="278">
        <f>C16*'forutsetninger 2'!$C$8</f>
        <v>64492.898165198239</v>
      </c>
      <c r="D23" s="278">
        <f>D16*'forutsetninger 2'!$C$8</f>
        <v>91397.512125000008</v>
      </c>
      <c r="E23" s="278">
        <f>E16*'forutsetninger 2'!$C$8</f>
        <v>91932.113936000009</v>
      </c>
      <c r="F23" s="278">
        <f>F16*'forutsetninger 2'!$C$8</f>
        <v>93517.530132999993</v>
      </c>
      <c r="G23" s="280">
        <f>G16*'forutsetninger 2'!$C$8</f>
        <v>92169.33382</v>
      </c>
    </row>
    <row r="24" spans="1:16" ht="15.75" customHeight="1">
      <c r="B24" s="291" t="s">
        <v>133</v>
      </c>
      <c r="C24" s="278">
        <f>C16*'forutsetninger 2'!$D$8</f>
        <v>560.80781013215858</v>
      </c>
      <c r="D24" s="278">
        <f>D16*'forutsetninger 2'!$D$8</f>
        <v>794.76097500000003</v>
      </c>
      <c r="E24" s="278">
        <f>E16*'forutsetninger 2'!$D$8</f>
        <v>799.40968640000006</v>
      </c>
      <c r="F24" s="278">
        <f>F16*'forutsetninger 2'!$D$8</f>
        <v>813.19591419999995</v>
      </c>
      <c r="G24" s="280">
        <f>G16*'forutsetninger 2'!$D$8</f>
        <v>801.47246800000005</v>
      </c>
      <c r="I24" s="314"/>
    </row>
    <row r="25" spans="1:16" ht="15.75" customHeight="1">
      <c r="B25" s="291" t="s">
        <v>55</v>
      </c>
      <c r="C25" s="278">
        <f>C16*'forutsetninger 2'!$E$8</f>
        <v>0</v>
      </c>
      <c r="D25" s="278">
        <f>D16*'forutsetninger 2'!$E$8</f>
        <v>0</v>
      </c>
      <c r="E25" s="278">
        <f>E16*'forutsetninger 2'!$E$8</f>
        <v>0</v>
      </c>
      <c r="F25" s="278">
        <f>F16*'forutsetninger 2'!$E$8</f>
        <v>0</v>
      </c>
      <c r="G25" s="280">
        <f>G16*'forutsetninger 2'!$E$8</f>
        <v>0</v>
      </c>
      <c r="I25" s="314"/>
      <c r="P25" s="18"/>
    </row>
    <row r="26" spans="1:16" ht="15.75" customHeight="1">
      <c r="B26" s="298" t="s">
        <v>134</v>
      </c>
      <c r="C26" s="284">
        <f>C16*'forutsetninger 2'!$F$8/1000</f>
        <v>65334.109880396471</v>
      </c>
      <c r="D26" s="284">
        <f>D16*'forutsetninger 2'!$F$8/1000</f>
        <v>92589.653587499997</v>
      </c>
      <c r="E26" s="284">
        <f>E16*'forutsetninger 2'!$F$8/1000</f>
        <v>93131.228465599997</v>
      </c>
      <c r="F26" s="284">
        <f>F16*'forutsetninger 2'!$F$8/1000</f>
        <v>94737.324004299982</v>
      </c>
      <c r="G26" s="286">
        <f>G16*'forutsetninger 2'!$F$8/1000</f>
        <v>93371.542522000003</v>
      </c>
      <c r="P26" s="18"/>
    </row>
    <row r="27" spans="1:16" ht="15.75" customHeight="1">
      <c r="A27" s="132"/>
      <c r="B27" s="428" t="s">
        <v>70</v>
      </c>
      <c r="C27" s="429"/>
      <c r="D27" s="429"/>
      <c r="E27" s="429"/>
      <c r="F27" s="429"/>
      <c r="G27" s="430"/>
      <c r="P27" s="18"/>
    </row>
    <row r="28" spans="1:16" ht="15.75" customHeight="1">
      <c r="A28" s="132"/>
      <c r="B28" s="122" t="s">
        <v>135</v>
      </c>
      <c r="C28" s="124">
        <f t="shared" ref="C28:G28" si="0">C23-C18</f>
        <v>22432.31240528635</v>
      </c>
      <c r="D28" s="124">
        <f t="shared" si="0"/>
        <v>31790.439000000013</v>
      </c>
      <c r="E28" s="124">
        <f t="shared" si="0"/>
        <v>31976.387456000011</v>
      </c>
      <c r="F28" s="124">
        <f t="shared" si="0"/>
        <v>32527.836568000006</v>
      </c>
      <c r="G28" s="126">
        <f t="shared" si="0"/>
        <v>32058.898720000005</v>
      </c>
      <c r="P28" s="18"/>
    </row>
    <row r="29" spans="1:16" ht="15.75" customHeight="1">
      <c r="A29" s="132"/>
      <c r="B29" s="122" t="s">
        <v>136</v>
      </c>
      <c r="C29" s="124">
        <f t="shared" ref="C29:G29" si="1">C24-C19</f>
        <v>0</v>
      </c>
      <c r="D29" s="124">
        <f t="shared" si="1"/>
        <v>0</v>
      </c>
      <c r="E29" s="124">
        <f t="shared" si="1"/>
        <v>0</v>
      </c>
      <c r="F29" s="124">
        <f t="shared" si="1"/>
        <v>0</v>
      </c>
      <c r="G29" s="126">
        <f t="shared" si="1"/>
        <v>0</v>
      </c>
      <c r="P29" s="18"/>
    </row>
    <row r="30" spans="1:16" ht="15.75" customHeight="1">
      <c r="A30" s="132"/>
      <c r="B30" s="122" t="s">
        <v>55</v>
      </c>
      <c r="C30" s="124">
        <f t="shared" ref="C30:G30" si="2">C25-C20</f>
        <v>0</v>
      </c>
      <c r="D30" s="124">
        <f t="shared" si="2"/>
        <v>0</v>
      </c>
      <c r="E30" s="124">
        <f t="shared" si="2"/>
        <v>0</v>
      </c>
      <c r="F30" s="124">
        <f t="shared" si="2"/>
        <v>0</v>
      </c>
      <c r="G30" s="126">
        <f t="shared" si="2"/>
        <v>0</v>
      </c>
      <c r="P30" s="18"/>
    </row>
    <row r="31" spans="1:16" ht="15.75" customHeight="1">
      <c r="B31" s="134" t="s">
        <v>137</v>
      </c>
      <c r="C31" s="137">
        <f t="shared" ref="C31:G31" si="3">C26-C21</f>
        <v>8692.521057048456</v>
      </c>
      <c r="D31" s="137">
        <f t="shared" si="3"/>
        <v>12318.795112499996</v>
      </c>
      <c r="E31" s="137">
        <f t="shared" si="3"/>
        <v>12390.850139200003</v>
      </c>
      <c r="F31" s="137">
        <f t="shared" si="3"/>
        <v>12604.536670099988</v>
      </c>
      <c r="G31" s="140">
        <f t="shared" si="3"/>
        <v>12422.823254000003</v>
      </c>
      <c r="P31" s="18"/>
    </row>
    <row r="32" spans="1:16" ht="15.75" customHeight="1">
      <c r="P32" s="18"/>
    </row>
    <row r="33" spans="2:6" ht="15.75" customHeight="1"/>
    <row r="34" spans="2:6" ht="15.75" customHeight="1">
      <c r="B34" s="129"/>
      <c r="C34" s="129"/>
      <c r="D34" s="74"/>
      <c r="E34" s="31"/>
      <c r="F34" s="31"/>
    </row>
    <row r="35" spans="2:6" ht="21" customHeight="1">
      <c r="B35" s="31"/>
      <c r="C35" s="75"/>
      <c r="D35" s="31"/>
      <c r="E35" s="31"/>
      <c r="F35" s="31"/>
    </row>
    <row r="36" spans="2:6" ht="21" customHeight="1">
      <c r="B36" s="31"/>
      <c r="C36" s="31"/>
      <c r="D36" s="31"/>
      <c r="E36" s="31"/>
      <c r="F36" s="31"/>
    </row>
    <row r="37" spans="2:6" ht="15.75" customHeight="1">
      <c r="B37" s="31"/>
      <c r="C37" s="31"/>
      <c r="D37" s="31"/>
      <c r="E37" s="31"/>
      <c r="F37" s="31"/>
    </row>
    <row r="38" spans="2:6" ht="15.75" customHeight="1">
      <c r="B38" s="31"/>
      <c r="C38" s="18"/>
      <c r="D38" s="31"/>
      <c r="E38" s="18"/>
    </row>
    <row r="39" spans="2:6" ht="15.75" customHeight="1">
      <c r="B39" s="31"/>
      <c r="C39" s="18"/>
      <c r="D39" s="31"/>
      <c r="E39" s="18"/>
    </row>
    <row r="40" spans="2:6" ht="15.75" customHeight="1">
      <c r="B40" s="31"/>
      <c r="C40" s="18"/>
      <c r="D40" s="31"/>
      <c r="E40" s="18"/>
    </row>
    <row r="41" spans="2:6" ht="15.75" customHeight="1">
      <c r="B41" s="31"/>
      <c r="C41" s="18"/>
      <c r="D41" s="31"/>
      <c r="E41" s="18"/>
    </row>
    <row r="42" spans="2:6" ht="15.75" customHeight="1">
      <c r="B42" s="18"/>
      <c r="C42" s="18"/>
      <c r="D42" s="18"/>
      <c r="E42" s="18"/>
    </row>
    <row r="43" spans="2:6" ht="15.75" customHeight="1">
      <c r="B43" s="18"/>
      <c r="C43" s="18"/>
      <c r="D43" s="18"/>
      <c r="E43" s="18"/>
    </row>
    <row r="44" spans="2:6" ht="15.75" customHeight="1">
      <c r="B44" s="18"/>
      <c r="C44" s="18"/>
      <c r="D44" s="18"/>
      <c r="E44" s="18"/>
    </row>
    <row r="45" spans="2:6" ht="15.75" customHeight="1">
      <c r="B45" s="18"/>
      <c r="C45" s="18"/>
      <c r="D45" s="18"/>
      <c r="E45" s="18"/>
    </row>
    <row r="46" spans="2:6" ht="15.75" customHeight="1">
      <c r="B46" s="18"/>
      <c r="C46" s="18"/>
      <c r="D46" s="18"/>
      <c r="E46" s="18"/>
    </row>
    <row r="47" spans="2:6" ht="15.75" customHeight="1"/>
    <row r="48" spans="2: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C17:G17"/>
    <mergeCell ref="C22:G22"/>
    <mergeCell ref="B27:G27"/>
  </mergeCells>
  <pageMargins left="0.7" right="0.7" top="0.75" bottom="0.75" header="0" footer="0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Z1000"/>
  <sheetViews>
    <sheetView workbookViewId="0">
      <selection activeCell="I4" sqref="I4"/>
    </sheetView>
  </sheetViews>
  <sheetFormatPr baseColWidth="10" defaultColWidth="12.6640625" defaultRowHeight="15" customHeight="1"/>
  <cols>
    <col min="1" max="2" width="37.6640625" customWidth="1"/>
    <col min="3" max="3" width="17.6640625" customWidth="1"/>
    <col min="4" max="4" width="18.1640625" customWidth="1"/>
    <col min="5" max="5" width="16" customWidth="1"/>
    <col min="6" max="6" width="14.33203125" customWidth="1"/>
    <col min="7" max="7" width="16.1640625" customWidth="1"/>
    <col min="8" max="8" width="15.83203125" customWidth="1"/>
    <col min="9" max="9" width="20.6640625" customWidth="1"/>
    <col min="10" max="10" width="16" customWidth="1"/>
    <col min="11" max="11" width="17.5" customWidth="1"/>
    <col min="12" max="12" width="14.6640625" customWidth="1"/>
    <col min="13" max="13" width="16.33203125" customWidth="1"/>
    <col min="14" max="14" width="20" customWidth="1"/>
    <col min="15" max="15" width="18.33203125" customWidth="1"/>
    <col min="16" max="16" width="26.83203125" customWidth="1"/>
    <col min="17" max="17" width="9.33203125" customWidth="1"/>
    <col min="18" max="18" width="37.6640625" customWidth="1"/>
    <col min="19" max="19" width="40.5" customWidth="1"/>
    <col min="20" max="20" width="21.6640625" customWidth="1"/>
    <col min="21" max="21" width="26.1640625" customWidth="1"/>
    <col min="22" max="26" width="9.33203125" customWidth="1"/>
  </cols>
  <sheetData>
    <row r="3" spans="2:26">
      <c r="B3" s="39" t="s">
        <v>24</v>
      </c>
      <c r="C3" s="40">
        <v>2015</v>
      </c>
      <c r="D3" s="40">
        <v>2016</v>
      </c>
      <c r="E3" s="40">
        <v>2017</v>
      </c>
      <c r="F3" s="40">
        <v>2018</v>
      </c>
      <c r="G3" s="41">
        <v>2019</v>
      </c>
    </row>
    <row r="4" spans="2:26" ht="21.75" customHeight="1">
      <c r="B4" s="292" t="s">
        <v>25</v>
      </c>
      <c r="C4" s="294">
        <f>'forutsetninger 1'!$C$36*'forutsetninger 1'!G19</f>
        <v>73.600704845814988</v>
      </c>
      <c r="D4" s="294">
        <f>'forutsetninger 1'!$C$36*'forutsetninger 1'!H19</f>
        <v>111.77439060205579</v>
      </c>
      <c r="E4" s="294">
        <f>'forutsetninger 1'!$C$36*'forutsetninger 1'!I19</f>
        <v>84.261233480176216</v>
      </c>
      <c r="F4" s="294">
        <f>'forutsetninger 1'!$C$36*'forutsetninger 1'!J19</f>
        <v>132.60769456681351</v>
      </c>
      <c r="G4" s="295">
        <f>'forutsetninger 1'!$C$36*'forutsetninger 1'!K19</f>
        <v>154.54035242290749</v>
      </c>
      <c r="I4" s="315"/>
      <c r="Q4" s="217"/>
      <c r="R4" s="217"/>
      <c r="S4" s="217"/>
      <c r="T4" s="217"/>
      <c r="U4" s="217"/>
      <c r="V4" s="217"/>
    </row>
    <row r="5" spans="2:26" ht="21.75" customHeight="1">
      <c r="B5" s="54" t="s">
        <v>37</v>
      </c>
      <c r="C5" s="40">
        <v>2015</v>
      </c>
      <c r="D5" s="40">
        <v>2016</v>
      </c>
      <c r="E5" s="40">
        <v>2017</v>
      </c>
      <c r="F5" s="40">
        <v>2018</v>
      </c>
      <c r="G5" s="41">
        <v>2019</v>
      </c>
      <c r="Q5" s="217"/>
      <c r="R5" s="217"/>
      <c r="S5" s="217"/>
      <c r="T5" s="217"/>
      <c r="U5" s="217"/>
      <c r="V5" s="217"/>
    </row>
    <row r="6" spans="2:26" ht="21" customHeight="1">
      <c r="B6" s="292" t="s">
        <v>25</v>
      </c>
      <c r="C6" s="294">
        <f>'forutsetninger 1'!G19*'forutsetninger 1'!$C$38</f>
        <v>202.40193832599121</v>
      </c>
      <c r="D6" s="294">
        <f>'forutsetninger 1'!H19*'forutsetninger 1'!$C$38</f>
        <v>307.37957415565342</v>
      </c>
      <c r="E6" s="294">
        <f>'forutsetninger 1'!I19*'forutsetninger 1'!$C$38</f>
        <v>231.71839207048458</v>
      </c>
      <c r="F6" s="294">
        <f>'forutsetninger 1'!J19*'forutsetninger 1'!$C$38</f>
        <v>364.67116005873714</v>
      </c>
      <c r="G6" s="295">
        <f>'forutsetninger 1'!K19*'forutsetninger 1'!$C$38</f>
        <v>424.98596916299562</v>
      </c>
      <c r="P6" s="217"/>
      <c r="Q6" s="217"/>
      <c r="R6" s="217"/>
      <c r="S6" s="217"/>
      <c r="T6" s="217"/>
      <c r="U6" s="217"/>
    </row>
    <row r="7" spans="2:26" ht="21" customHeight="1">
      <c r="P7" s="217"/>
      <c r="Q7" s="217"/>
      <c r="R7" s="217"/>
      <c r="S7" s="217"/>
      <c r="T7" s="217"/>
      <c r="U7" s="217"/>
    </row>
    <row r="8" spans="2:26" ht="21.75" customHeight="1">
      <c r="B8" s="296" t="s">
        <v>99</v>
      </c>
      <c r="C8" s="219">
        <v>2015</v>
      </c>
      <c r="D8" s="219">
        <v>2016</v>
      </c>
      <c r="E8" s="219">
        <v>2017</v>
      </c>
      <c r="F8" s="219">
        <v>2018</v>
      </c>
      <c r="G8" s="221">
        <v>2019</v>
      </c>
      <c r="M8" s="27"/>
      <c r="N8" s="27"/>
      <c r="O8" s="27"/>
      <c r="P8" s="27"/>
      <c r="Q8" s="246"/>
      <c r="R8" s="246"/>
      <c r="S8" s="246"/>
      <c r="T8" s="246"/>
      <c r="U8" s="246"/>
      <c r="V8" s="246"/>
      <c r="W8" s="246"/>
      <c r="X8" s="246"/>
      <c r="Y8" s="246"/>
    </row>
    <row r="9" spans="2:26" ht="21" customHeight="1">
      <c r="B9" s="297" t="s">
        <v>8</v>
      </c>
      <c r="C9" s="299">
        <f>'forutsetninger 1'!G35*'forutsetninger 1'!$R$21</f>
        <v>31962.365520800005</v>
      </c>
      <c r="D9" s="299">
        <f>'forutsetninger 1'!H35*'forutsetninger 1'!$R$21</f>
        <v>48669.965679400004</v>
      </c>
      <c r="E9" s="299">
        <f>'forutsetninger 1'!I35*'forutsetninger 1'!$R$21</f>
        <v>36684.078609100005</v>
      </c>
      <c r="F9" s="299">
        <f>'forutsetninger 1'!J35*'forutsetninger 1'!$R$21</f>
        <v>57386.97445780001</v>
      </c>
      <c r="G9" s="300">
        <f>'forutsetninger 1'!K35*'forutsetninger 1'!$R$21</f>
        <v>66830.400634400008</v>
      </c>
      <c r="M9" s="27"/>
      <c r="N9" s="27"/>
      <c r="O9" s="27"/>
      <c r="P9" s="27"/>
      <c r="Q9" s="246"/>
      <c r="R9" s="246"/>
      <c r="S9" s="246"/>
      <c r="T9" s="246"/>
      <c r="U9" s="246"/>
      <c r="V9" s="246"/>
      <c r="W9" s="246"/>
      <c r="X9" s="246"/>
      <c r="Y9" s="246"/>
    </row>
    <row r="10" spans="2:26" ht="21" customHeight="1">
      <c r="B10" s="301" t="s">
        <v>9</v>
      </c>
      <c r="C10" s="302">
        <f>'forutsetninger 1'!G35*'forutsetninger 1'!$R$22</f>
        <v>47.523922160000005</v>
      </c>
      <c r="D10" s="302">
        <f>'forutsetninger 1'!H35*'forutsetninger 1'!$R$22</f>
        <v>72.365972380000002</v>
      </c>
      <c r="E10" s="302">
        <f>'forutsetninger 1'!I35*'forutsetninger 1'!$R$22</f>
        <v>54.544501570000008</v>
      </c>
      <c r="F10" s="302">
        <f>'forutsetninger 1'!J35*'forutsetninger 1'!$R$22</f>
        <v>85.327042060000011</v>
      </c>
      <c r="G10" s="303">
        <f>'forutsetninger 1'!K35*'forutsetninger 1'!$R$22</f>
        <v>99.368200880000018</v>
      </c>
      <c r="M10" s="27"/>
      <c r="N10" s="27"/>
      <c r="O10" s="27"/>
      <c r="P10" s="27"/>
      <c r="Q10" s="246"/>
      <c r="R10" s="246"/>
      <c r="S10" s="246"/>
      <c r="T10" s="246"/>
      <c r="U10" s="246"/>
      <c r="V10" s="246"/>
      <c r="W10" s="246"/>
      <c r="X10" s="246"/>
      <c r="Y10" s="246"/>
    </row>
    <row r="11" spans="2:26" ht="21.75" customHeight="1">
      <c r="B11" s="304" t="s">
        <v>10</v>
      </c>
      <c r="C11" s="305">
        <f>'forutsetninger 1'!G35*'forutsetninger 1'!$R$23</f>
        <v>0.20222945600000003</v>
      </c>
      <c r="D11" s="305">
        <f>'forutsetninger 1'!H35*'forutsetninger 1'!$R$23</f>
        <v>0.30794030800000005</v>
      </c>
      <c r="E11" s="305">
        <f>'forutsetninger 1'!I35*'forutsetninger 1'!$R$23</f>
        <v>0.23210426200000003</v>
      </c>
      <c r="F11" s="305">
        <f>'forutsetninger 1'!J35*'forutsetninger 1'!$R$23</f>
        <v>0.36309379600000008</v>
      </c>
      <c r="G11" s="306">
        <f>'forutsetninger 1'!K35*'forutsetninger 1'!$R$23</f>
        <v>0.42284340800000009</v>
      </c>
      <c r="N11" s="27"/>
      <c r="O11" s="27"/>
      <c r="P11" s="27"/>
      <c r="Q11" s="27"/>
      <c r="R11" s="246"/>
      <c r="S11" s="246"/>
      <c r="T11" s="246"/>
      <c r="U11" s="246"/>
      <c r="V11" s="246"/>
      <c r="W11" s="246"/>
      <c r="X11" s="246"/>
      <c r="Y11" s="246"/>
      <c r="Z11" s="246"/>
    </row>
    <row r="12" spans="2:26" ht="21" customHeight="1">
      <c r="N12" s="27"/>
      <c r="O12" s="27"/>
      <c r="P12" s="27"/>
      <c r="Q12" s="27"/>
      <c r="R12" s="246"/>
      <c r="S12" s="246"/>
      <c r="T12" s="246"/>
      <c r="U12" s="246"/>
      <c r="V12" s="246"/>
      <c r="W12" s="246"/>
      <c r="X12" s="246"/>
      <c r="Y12" s="246"/>
      <c r="Z12" s="246"/>
    </row>
    <row r="13" spans="2:26" ht="21.75" customHeight="1">
      <c r="N13" s="27"/>
      <c r="O13" s="27"/>
      <c r="P13" s="27"/>
      <c r="Q13" s="27"/>
      <c r="R13" s="246"/>
      <c r="S13" s="246"/>
      <c r="T13" s="246"/>
      <c r="U13" s="246"/>
      <c r="V13" s="246"/>
      <c r="W13" s="246"/>
      <c r="X13" s="246"/>
      <c r="Y13" s="246"/>
      <c r="Z13" s="246"/>
    </row>
    <row r="14" spans="2:26" ht="21.75" customHeight="1">
      <c r="Q14" s="217"/>
      <c r="R14" s="217"/>
      <c r="S14" s="217"/>
      <c r="T14" s="217"/>
      <c r="U14" s="217"/>
      <c r="V14" s="217"/>
    </row>
    <row r="15" spans="2:26" ht="21" customHeight="1">
      <c r="B15" s="238" t="s">
        <v>45</v>
      </c>
      <c r="C15" s="40">
        <v>2015</v>
      </c>
      <c r="D15" s="40">
        <v>2016</v>
      </c>
      <c r="E15" s="40">
        <v>2017</v>
      </c>
      <c r="F15" s="40">
        <v>2018</v>
      </c>
      <c r="G15" s="41">
        <v>2019</v>
      </c>
      <c r="Q15" s="217"/>
      <c r="R15" s="217"/>
      <c r="S15" s="217"/>
      <c r="T15" s="217"/>
      <c r="U15" s="217"/>
      <c r="V15" s="217"/>
    </row>
    <row r="16" spans="2:26" ht="21" customHeight="1">
      <c r="B16" s="307" t="s">
        <v>46</v>
      </c>
      <c r="C16" s="308">
        <f>'forutsetninger 1'!G27</f>
        <v>25208.241409691629</v>
      </c>
      <c r="D16" s="308">
        <f>'forutsetninger 1'!H27</f>
        <v>38282.728781204103</v>
      </c>
      <c r="E16" s="308">
        <f>'forutsetninger 1'!I27</f>
        <v>28859.472466960353</v>
      </c>
      <c r="F16" s="308">
        <f>'forutsetninger 1'!J27</f>
        <v>45418.135389133626</v>
      </c>
      <c r="G16" s="309">
        <f>'forutsetninger 1'!K27</f>
        <v>52930.070704845813</v>
      </c>
      <c r="Q16" s="217"/>
      <c r="R16" s="217"/>
      <c r="S16" s="217"/>
      <c r="T16" s="217"/>
      <c r="U16" s="217"/>
      <c r="V16" s="217"/>
    </row>
    <row r="17" spans="2:22" ht="21" customHeight="1">
      <c r="B17" s="242" t="s">
        <v>48</v>
      </c>
      <c r="C17" s="425" t="s">
        <v>22</v>
      </c>
      <c r="D17" s="426"/>
      <c r="E17" s="426"/>
      <c r="F17" s="426"/>
      <c r="G17" s="427"/>
      <c r="Q17" s="217"/>
      <c r="R17" s="217"/>
      <c r="S17" s="217"/>
      <c r="T17" s="217"/>
      <c r="U17" s="217"/>
      <c r="V17" s="217"/>
    </row>
    <row r="18" spans="2:22" ht="21.75" customHeight="1">
      <c r="B18" s="310" t="s">
        <v>138</v>
      </c>
      <c r="C18" s="302">
        <f>C16*'forutsetninger 2'!$C$11</f>
        <v>5545.8131101321587</v>
      </c>
      <c r="D18" s="302">
        <f>D16*'forutsetninger 2'!$C$11</f>
        <v>8422.2003318649022</v>
      </c>
      <c r="E18" s="302">
        <f>E16*'forutsetninger 2'!$C$11</f>
        <v>6349.0839427312776</v>
      </c>
      <c r="F18" s="302">
        <f>F16*'forutsetninger 2'!$C$11</f>
        <v>9991.9897856093976</v>
      </c>
      <c r="G18" s="303">
        <f>G16*'forutsetninger 2'!$C$11</f>
        <v>11644.615555066079</v>
      </c>
      <c r="Q18" s="217"/>
      <c r="R18" s="217"/>
      <c r="S18" s="217"/>
      <c r="T18" s="217"/>
      <c r="U18" s="217"/>
      <c r="V18" s="217"/>
    </row>
    <row r="19" spans="2:22" ht="21" customHeight="1">
      <c r="B19" s="310" t="s">
        <v>139</v>
      </c>
      <c r="C19" s="302">
        <f>C16*'forutsetninger 2'!$D$11</f>
        <v>25.208241409691631</v>
      </c>
      <c r="D19" s="302">
        <f>D16*'forutsetninger 2'!$D$11</f>
        <v>38.282728781204106</v>
      </c>
      <c r="E19" s="302">
        <f>E16*'forutsetninger 2'!$D$11</f>
        <v>28.859472466960355</v>
      </c>
      <c r="F19" s="302">
        <f>F16*'forutsetninger 2'!$D$11</f>
        <v>45.418135389133624</v>
      </c>
      <c r="G19" s="303">
        <f>G16*'forutsetninger 2'!$D$11</f>
        <v>52.930070704845818</v>
      </c>
      <c r="Q19" s="217"/>
      <c r="R19" s="217"/>
      <c r="S19" s="217"/>
      <c r="T19" s="217"/>
      <c r="U19" s="217"/>
      <c r="V19" s="217"/>
    </row>
    <row r="20" spans="2:22" ht="21" customHeight="1">
      <c r="B20" s="310" t="s">
        <v>55</v>
      </c>
      <c r="C20" s="302">
        <f>C16*'forutsetninger 2'!$E$11</f>
        <v>0</v>
      </c>
      <c r="D20" s="302">
        <f>D16*'forutsetninger 2'!$E$11</f>
        <v>0</v>
      </c>
      <c r="E20" s="302">
        <f>E16*'forutsetninger 2'!$E$11</f>
        <v>0</v>
      </c>
      <c r="F20" s="302">
        <f>F16*'forutsetninger 2'!$E$11</f>
        <v>0</v>
      </c>
      <c r="G20" s="303">
        <f>G16*'forutsetninger 2'!$E$11</f>
        <v>0</v>
      </c>
      <c r="P20" s="217"/>
      <c r="Q20" s="217"/>
      <c r="R20" s="217"/>
      <c r="S20" s="217"/>
      <c r="T20" s="217"/>
      <c r="U20" s="217"/>
      <c r="V20" s="217"/>
    </row>
    <row r="21" spans="2:22" ht="21" customHeight="1">
      <c r="B21" s="311" t="s">
        <v>140</v>
      </c>
      <c r="C21" s="308">
        <f>C16*'forutsetninger 2'!$F$11/1000</f>
        <v>5092.0647647577089</v>
      </c>
      <c r="D21" s="308">
        <f>D16*'forutsetninger 2'!$F$11/1000</f>
        <v>7733.1112138032286</v>
      </c>
      <c r="E21" s="308">
        <f>E16*'forutsetninger 2'!$F$11/1000</f>
        <v>5829.6134383259905</v>
      </c>
      <c r="F21" s="308">
        <f>F16*'forutsetninger 2'!$F$11/1000</f>
        <v>9174.4633486049916</v>
      </c>
      <c r="G21" s="309">
        <f>G16*'forutsetninger 2'!$F$11/1000</f>
        <v>10691.874282378854</v>
      </c>
      <c r="P21" s="217"/>
      <c r="Q21" s="217"/>
      <c r="R21" s="217"/>
      <c r="S21" s="217"/>
      <c r="T21" s="217"/>
      <c r="U21" s="217"/>
      <c r="V21" s="217"/>
    </row>
    <row r="22" spans="2:22" ht="21" customHeight="1">
      <c r="B22" s="90" t="s">
        <v>59</v>
      </c>
      <c r="C22" s="425" t="s">
        <v>20</v>
      </c>
      <c r="D22" s="426"/>
      <c r="E22" s="426"/>
      <c r="F22" s="426"/>
      <c r="G22" s="427"/>
      <c r="P22" s="217"/>
      <c r="Q22" s="217"/>
      <c r="R22" s="217"/>
      <c r="S22" s="217"/>
      <c r="T22" s="217"/>
      <c r="U22" s="217"/>
      <c r="V22" s="217"/>
    </row>
    <row r="23" spans="2:22" ht="21" customHeight="1">
      <c r="B23" s="310" t="s">
        <v>141</v>
      </c>
      <c r="C23" s="302">
        <f>C16*'forutsetninger 2'!$C$9</f>
        <v>7562.4724229074882</v>
      </c>
      <c r="D23" s="302">
        <f>D16*'forutsetninger 2'!$C$9</f>
        <v>11484.818634361231</v>
      </c>
      <c r="E23" s="302">
        <f>E16*'forutsetninger 2'!$C$9</f>
        <v>8657.8417400881062</v>
      </c>
      <c r="F23" s="302">
        <f>F16*'forutsetninger 2'!$C$9</f>
        <v>13625.440616740087</v>
      </c>
      <c r="G23" s="303">
        <f>G16*'forutsetninger 2'!$C$9</f>
        <v>15879.021211453743</v>
      </c>
      <c r="P23" s="217"/>
      <c r="Q23" s="217"/>
      <c r="R23" s="217"/>
      <c r="S23" s="217"/>
      <c r="T23" s="217"/>
      <c r="U23" s="217"/>
      <c r="V23" s="217"/>
    </row>
    <row r="24" spans="2:22" ht="21" customHeight="1">
      <c r="B24" s="310" t="s">
        <v>142</v>
      </c>
      <c r="C24" s="302">
        <f>C16*'forutsetninger 2'!$D$9</f>
        <v>25.208241409691631</v>
      </c>
      <c r="D24" s="302">
        <f>D16*'forutsetninger 2'!$D$9</f>
        <v>38.282728781204106</v>
      </c>
      <c r="E24" s="302">
        <f>E16*'forutsetninger 2'!$D$9</f>
        <v>28.859472466960355</v>
      </c>
      <c r="F24" s="302">
        <f>F16*'forutsetninger 2'!$D$9</f>
        <v>45.418135389133624</v>
      </c>
      <c r="G24" s="303">
        <f>G16*'forutsetninger 2'!$D$9</f>
        <v>52.930070704845818</v>
      </c>
      <c r="P24" s="217"/>
      <c r="Q24" s="217"/>
      <c r="R24" s="217"/>
      <c r="S24" s="217"/>
      <c r="T24" s="217"/>
      <c r="U24" s="217"/>
      <c r="V24" s="217"/>
    </row>
    <row r="25" spans="2:22" ht="21" customHeight="1">
      <c r="B25" s="310" t="s">
        <v>55</v>
      </c>
      <c r="C25" s="302">
        <f>C16*'forutsetninger 2'!$E$9</f>
        <v>0</v>
      </c>
      <c r="D25" s="302">
        <f>D16*'forutsetninger 2'!$E$9</f>
        <v>0</v>
      </c>
      <c r="E25" s="302">
        <f>E16*'forutsetninger 2'!$E$9</f>
        <v>0</v>
      </c>
      <c r="F25" s="302">
        <f>F16*'forutsetninger 2'!$E$9</f>
        <v>0</v>
      </c>
      <c r="G25" s="303">
        <f>G16*'forutsetninger 2'!$E$9</f>
        <v>0</v>
      </c>
      <c r="P25" s="217"/>
      <c r="Q25" s="217"/>
      <c r="R25" s="217"/>
      <c r="S25" s="217"/>
      <c r="T25" s="217"/>
      <c r="U25" s="217"/>
      <c r="V25" s="217"/>
    </row>
    <row r="26" spans="2:22" ht="21" customHeight="1">
      <c r="B26" s="311" t="s">
        <v>143</v>
      </c>
      <c r="C26" s="308">
        <f>C16*'forutsetninger 2'!$F$9/1000</f>
        <v>5873.5202484581496</v>
      </c>
      <c r="D26" s="308">
        <f>D16*'forutsetninger 2'!$F$9/1000</f>
        <v>8919.8758060205564</v>
      </c>
      <c r="E26" s="308">
        <f>E16*'forutsetninger 2'!$F$9/1000</f>
        <v>6724.2570848017622</v>
      </c>
      <c r="F26" s="308">
        <f>F16*'forutsetninger 2'!$F$9/1000</f>
        <v>10582.425545668135</v>
      </c>
      <c r="G26" s="309">
        <f>G16*'forutsetninger 2'!$F$9/1000</f>
        <v>12332.706474229075</v>
      </c>
      <c r="Q26" s="217"/>
      <c r="R26" s="217"/>
      <c r="S26" s="217"/>
      <c r="T26" s="217"/>
      <c r="U26" s="217"/>
      <c r="V26" s="217"/>
    </row>
    <row r="27" spans="2:22" ht="21" customHeight="1">
      <c r="B27" s="428" t="s">
        <v>70</v>
      </c>
      <c r="C27" s="429"/>
      <c r="D27" s="429"/>
      <c r="E27" s="429"/>
      <c r="F27" s="429"/>
      <c r="G27" s="430"/>
      <c r="Q27" s="217"/>
      <c r="R27" s="217"/>
      <c r="S27" s="217"/>
      <c r="T27" s="217"/>
      <c r="U27" s="217"/>
      <c r="V27" s="217"/>
    </row>
    <row r="28" spans="2:22" ht="21" customHeight="1">
      <c r="B28" s="122" t="s">
        <v>144</v>
      </c>
      <c r="C28" s="124">
        <f t="shared" ref="C28:G28" si="0">C23-C18</f>
        <v>2016.6593127753295</v>
      </c>
      <c r="D28" s="124">
        <f t="shared" si="0"/>
        <v>3062.6183024963284</v>
      </c>
      <c r="E28" s="124">
        <f t="shared" si="0"/>
        <v>2308.7577973568286</v>
      </c>
      <c r="F28" s="124">
        <f t="shared" si="0"/>
        <v>3633.450831130689</v>
      </c>
      <c r="G28" s="126">
        <f t="shared" si="0"/>
        <v>4234.4056563876638</v>
      </c>
      <c r="Q28" s="217"/>
      <c r="R28" s="217"/>
      <c r="S28" s="217"/>
      <c r="T28" s="217"/>
      <c r="U28" s="217"/>
      <c r="V28" s="217"/>
    </row>
    <row r="29" spans="2:22" ht="15" customHeight="1">
      <c r="B29" s="122" t="s">
        <v>145</v>
      </c>
      <c r="C29" s="124">
        <f t="shared" ref="C29:G29" si="1">C24-C19</f>
        <v>0</v>
      </c>
      <c r="D29" s="124">
        <f t="shared" si="1"/>
        <v>0</v>
      </c>
      <c r="E29" s="124">
        <f t="shared" si="1"/>
        <v>0</v>
      </c>
      <c r="F29" s="124">
        <f t="shared" si="1"/>
        <v>0</v>
      </c>
      <c r="G29" s="126">
        <f t="shared" si="1"/>
        <v>0</v>
      </c>
    </row>
    <row r="30" spans="2:22" ht="15" customHeight="1">
      <c r="B30" s="122" t="s">
        <v>55</v>
      </c>
      <c r="C30" s="124">
        <f t="shared" ref="C30:G30" si="2">C25-C20</f>
        <v>0</v>
      </c>
      <c r="D30" s="124">
        <f t="shared" si="2"/>
        <v>0</v>
      </c>
      <c r="E30" s="124">
        <f t="shared" si="2"/>
        <v>0</v>
      </c>
      <c r="F30" s="124">
        <f t="shared" si="2"/>
        <v>0</v>
      </c>
      <c r="G30" s="126">
        <f t="shared" si="2"/>
        <v>0</v>
      </c>
    </row>
    <row r="31" spans="2:22" ht="15" customHeight="1">
      <c r="B31" s="134" t="s">
        <v>146</v>
      </c>
      <c r="C31" s="137">
        <f t="shared" ref="C31:G31" si="3">C26-C21</f>
        <v>781.45548370044071</v>
      </c>
      <c r="D31" s="137">
        <f t="shared" si="3"/>
        <v>1186.7645922173278</v>
      </c>
      <c r="E31" s="137">
        <f t="shared" si="3"/>
        <v>894.64364647577167</v>
      </c>
      <c r="F31" s="137">
        <f t="shared" si="3"/>
        <v>1407.9621970631433</v>
      </c>
      <c r="G31" s="140">
        <f t="shared" si="3"/>
        <v>1640.8321918502206</v>
      </c>
    </row>
    <row r="33" spans="2:5" ht="15" customHeight="1">
      <c r="B33" s="75"/>
      <c r="C33" s="75"/>
      <c r="D33" s="75"/>
      <c r="E33" s="75"/>
    </row>
    <row r="34" spans="2:5" ht="15" customHeight="1">
      <c r="B34" s="75"/>
      <c r="C34" s="75"/>
      <c r="D34" s="75"/>
      <c r="E34" s="75"/>
    </row>
    <row r="35" spans="2:5" ht="21" customHeight="1">
      <c r="B35" s="75"/>
      <c r="C35" s="75"/>
      <c r="D35" s="75"/>
      <c r="E35" s="75"/>
    </row>
    <row r="36" spans="2:5" ht="21" customHeight="1">
      <c r="B36" s="75"/>
      <c r="C36" s="75"/>
      <c r="D36" s="75"/>
      <c r="E36" s="75"/>
    </row>
    <row r="37" spans="2:5" ht="15" customHeight="1">
      <c r="B37" s="75"/>
      <c r="C37" s="75"/>
      <c r="D37" s="75"/>
      <c r="E37" s="75"/>
    </row>
    <row r="38" spans="2:5" ht="15" customHeight="1">
      <c r="B38" s="75"/>
      <c r="C38" s="75"/>
      <c r="D38" s="75"/>
      <c r="E38" s="75"/>
    </row>
    <row r="39" spans="2:5" ht="15" customHeight="1">
      <c r="B39" s="75"/>
      <c r="C39" s="75"/>
      <c r="D39" s="75"/>
      <c r="E39" s="75"/>
    </row>
    <row r="40" spans="2:5" ht="15" customHeight="1">
      <c r="B40" s="75"/>
      <c r="C40" s="75"/>
      <c r="D40" s="75"/>
      <c r="E40" s="75"/>
    </row>
    <row r="41" spans="2:5" ht="15" customHeight="1">
      <c r="B41" s="75"/>
      <c r="C41" s="75"/>
      <c r="D41" s="75"/>
      <c r="E41" s="75"/>
    </row>
    <row r="42" spans="2:5" ht="15" customHeight="1">
      <c r="B42" s="75"/>
      <c r="C42" s="75"/>
      <c r="D42" s="75"/>
      <c r="E42" s="75"/>
    </row>
    <row r="43" spans="2:5" ht="15" customHeight="1">
      <c r="B43" s="75"/>
      <c r="C43" s="75"/>
      <c r="D43" s="75"/>
      <c r="E43" s="75"/>
    </row>
    <row r="44" spans="2:5" ht="15" customHeight="1">
      <c r="B44" s="75"/>
      <c r="C44" s="75"/>
      <c r="D44" s="75"/>
      <c r="E44" s="75"/>
    </row>
    <row r="45" spans="2:5" ht="15" customHeight="1">
      <c r="B45" s="75"/>
      <c r="C45" s="75"/>
      <c r="D45" s="75"/>
      <c r="E45" s="75"/>
    </row>
    <row r="46" spans="2:5" ht="15" customHeight="1">
      <c r="B46" s="75"/>
      <c r="C46" s="75"/>
      <c r="D46" s="75"/>
      <c r="E46" s="75"/>
    </row>
    <row r="47" spans="2:5" ht="15" customHeight="1">
      <c r="B47" s="75"/>
      <c r="C47" s="75"/>
      <c r="D47" s="75"/>
      <c r="E47" s="75"/>
    </row>
    <row r="48" spans="2:5" ht="15" customHeight="1">
      <c r="B48" s="75"/>
      <c r="C48" s="75"/>
      <c r="D48" s="75"/>
      <c r="E48" s="75"/>
    </row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C17:G17"/>
    <mergeCell ref="C22:G22"/>
    <mergeCell ref="B27:G27"/>
  </mergeCells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092BF37E1299A408A227D05F27C8B49" ma:contentTypeVersion="2" ma:contentTypeDescription="Opprett et nytt dokument." ma:contentTypeScope="" ma:versionID="38a595a90d4ce440c562fc78a470c146">
  <xsd:schema xmlns:xsd="http://www.w3.org/2001/XMLSchema" xmlns:xs="http://www.w3.org/2001/XMLSchema" xmlns:p="http://schemas.microsoft.com/office/2006/metadata/properties" xmlns:ns2="5b7ad8d7-e42d-4174-83b4-afef8f10d9fa" targetNamespace="http://schemas.microsoft.com/office/2006/metadata/properties" ma:root="true" ma:fieldsID="7d07afc4a0cc847ebe368d8eb1c190fc" ns2:_="">
    <xsd:import namespace="5b7ad8d7-e42d-4174-83b4-afef8f10d9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7ad8d7-e42d-4174-83b4-afef8f10d9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3F100F-1F23-4ADB-AE8C-FC02BDEB0C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7ad8d7-e42d-4174-83b4-afef8f10d9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D9F2692-F74B-49AB-9323-750594BD7D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58E958-920F-4E4A-938E-3811E2001C40}">
  <ds:schemaRefs>
    <ds:schemaRef ds:uri="http://www.w3.org/XML/1998/namespace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5b7ad8d7-e42d-4174-83b4-afef8f10d9fa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forutsetninger 1</vt:lpstr>
      <vt:lpstr>forutsetninger 2</vt:lpstr>
      <vt:lpstr>Avgifter</vt:lpstr>
      <vt:lpstr>Fabrikk 1 </vt:lpstr>
      <vt:lpstr>Fabrikk 2 </vt:lpstr>
      <vt:lpstr>Fabrikk 3 </vt:lpstr>
      <vt:lpstr>Fabrikk 4</vt:lpstr>
      <vt:lpstr>Fabrikk 5 </vt:lpstr>
      <vt:lpstr>Fabrikk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Leiv Arne Marhaug</dc:creator>
  <cp:lastModifiedBy>Microsoft Office User</cp:lastModifiedBy>
  <dcterms:created xsi:type="dcterms:W3CDTF">2020-03-03T11:43:07Z</dcterms:created>
  <dcterms:modified xsi:type="dcterms:W3CDTF">2020-05-25T08:49:30Z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0x0101001092BF37E1299A408A227D05F27C8B49</vt:lpwstr>
  </property>
</Properties>
</file>