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nr\Desktop\M31_Bachelor_Vedlegg\"/>
    </mc:Choice>
  </mc:AlternateContent>
  <xr:revisionPtr revIDLastSave="0" documentId="8_{C539BF37-6798-42D0-8744-0035C9B480F3}" xr6:coauthVersionLast="45" xr6:coauthVersionMax="45" xr10:uidLastSave="{00000000-0000-0000-0000-000000000000}"/>
  <bookViews>
    <workbookView xWindow="3030" yWindow="2370" windowWidth="21600" windowHeight="11385" xr2:uid="{504D636A-3923-47BD-B337-1EA209260061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  <c r="E44" i="1"/>
  <c r="E45" i="1"/>
  <c r="E46" i="1"/>
  <c r="E47" i="1"/>
  <c r="E48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26" i="1"/>
  <c r="D52" i="1" l="1"/>
  <c r="D53" i="1"/>
  <c r="D54" i="1"/>
  <c r="D55" i="1"/>
  <c r="E55" i="1" s="1"/>
  <c r="D56" i="1"/>
  <c r="D51" i="1"/>
  <c r="E51" i="1" s="1"/>
  <c r="F44" i="1"/>
  <c r="F45" i="1"/>
  <c r="F46" i="1"/>
  <c r="F47" i="1"/>
  <c r="F48" i="1"/>
  <c r="F43" i="1"/>
  <c r="E52" i="1"/>
  <c r="E53" i="1"/>
  <c r="E54" i="1"/>
  <c r="E56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9" i="1"/>
  <c r="G52" i="1"/>
  <c r="F52" i="1" s="1"/>
  <c r="C52" i="1" s="1"/>
  <c r="G53" i="1"/>
  <c r="F53" i="1" s="1"/>
  <c r="G54" i="1"/>
  <c r="F54" i="1" s="1"/>
  <c r="G55" i="1"/>
  <c r="F55" i="1" s="1"/>
  <c r="G56" i="1"/>
  <c r="F56" i="1" s="1"/>
  <c r="C56" i="1" s="1"/>
  <c r="G51" i="1"/>
  <c r="F51" i="1" s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9" i="1"/>
  <c r="H3" i="1"/>
  <c r="J1" i="1"/>
  <c r="H4" i="1"/>
  <c r="C55" i="1" l="1"/>
  <c r="C54" i="1"/>
  <c r="C53" i="1"/>
  <c r="B52" i="1"/>
  <c r="B53" i="1"/>
  <c r="B54" i="1"/>
  <c r="B55" i="1"/>
  <c r="B56" i="1"/>
  <c r="B51" i="1"/>
  <c r="G44" i="1"/>
  <c r="G45" i="1"/>
  <c r="G46" i="1"/>
  <c r="G47" i="1"/>
  <c r="G48" i="1"/>
  <c r="G43" i="1"/>
  <c r="B27" i="1" l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26" i="1"/>
  <c r="E3" i="1" l="1"/>
  <c r="E2" i="1"/>
  <c r="H1" i="1" l="1"/>
  <c r="E1" i="1"/>
  <c r="D10" i="1" l="1"/>
  <c r="G27" i="1" s="1"/>
  <c r="F27" i="1" s="1"/>
  <c r="C27" i="1" s="1"/>
  <c r="D14" i="1"/>
  <c r="G31" i="1" s="1"/>
  <c r="F31" i="1" s="1"/>
  <c r="C31" i="1" s="1"/>
  <c r="D18" i="1"/>
  <c r="G35" i="1" s="1"/>
  <c r="F35" i="1" s="1"/>
  <c r="C35" i="1" s="1"/>
  <c r="D22" i="1"/>
  <c r="G39" i="1" s="1"/>
  <c r="F39" i="1" s="1"/>
  <c r="C39" i="1" s="1"/>
  <c r="D13" i="1"/>
  <c r="G30" i="1" s="1"/>
  <c r="F30" i="1" s="1"/>
  <c r="C30" i="1" s="1"/>
  <c r="D21" i="1"/>
  <c r="G38" i="1" s="1"/>
  <c r="F38" i="1" s="1"/>
  <c r="C38" i="1" s="1"/>
  <c r="D11" i="1"/>
  <c r="G28" i="1" s="1"/>
  <c r="F28" i="1" s="1"/>
  <c r="C28" i="1" s="1"/>
  <c r="D15" i="1"/>
  <c r="G32" i="1" s="1"/>
  <c r="F32" i="1" s="1"/>
  <c r="C32" i="1" s="1"/>
  <c r="D19" i="1"/>
  <c r="G36" i="1" s="1"/>
  <c r="F36" i="1" s="1"/>
  <c r="C36" i="1" s="1"/>
  <c r="D23" i="1"/>
  <c r="G40" i="1" s="1"/>
  <c r="F40" i="1" s="1"/>
  <c r="C40" i="1" s="1"/>
  <c r="H2" i="1"/>
  <c r="D12" i="1"/>
  <c r="G29" i="1" s="1"/>
  <c r="F29" i="1" s="1"/>
  <c r="C29" i="1" s="1"/>
  <c r="D16" i="1"/>
  <c r="G33" i="1" s="1"/>
  <c r="F33" i="1" s="1"/>
  <c r="C33" i="1" s="1"/>
  <c r="D20" i="1"/>
  <c r="G37" i="1" s="1"/>
  <c r="F37" i="1" s="1"/>
  <c r="C37" i="1" s="1"/>
  <c r="D9" i="1"/>
  <c r="G26" i="1" s="1"/>
  <c r="F26" i="1" s="1"/>
  <c r="C26" i="1" s="1"/>
  <c r="D17" i="1"/>
  <c r="G34" i="1" s="1"/>
  <c r="F34" i="1" s="1"/>
  <c r="C34" i="1" s="1"/>
  <c r="H6" i="1"/>
  <c r="G14" i="1"/>
  <c r="G10" i="1" l="1"/>
  <c r="G21" i="1"/>
  <c r="G17" i="1"/>
  <c r="G13" i="1"/>
  <c r="G9" i="1"/>
  <c r="G20" i="1"/>
  <c r="G16" i="1"/>
  <c r="G12" i="1"/>
  <c r="G23" i="1"/>
  <c r="G19" i="1"/>
  <c r="G15" i="1"/>
  <c r="H5" i="1"/>
  <c r="J2" i="1" s="1"/>
  <c r="J3" i="1" s="1"/>
  <c r="J4" i="1" s="1"/>
  <c r="G11" i="1"/>
  <c r="G22" i="1"/>
  <c r="G18" i="1"/>
  <c r="C51" i="1"/>
</calcChain>
</file>

<file path=xl/sharedStrings.xml><?xml version="1.0" encoding="utf-8"?>
<sst xmlns="http://schemas.openxmlformats.org/spreadsheetml/2006/main" count="71" uniqueCount="64">
  <si>
    <t>L_s</t>
  </si>
  <si>
    <t>[m]</t>
  </si>
  <si>
    <t>L_m</t>
  </si>
  <si>
    <t>W_m</t>
  </si>
  <si>
    <t>C_fs</t>
  </si>
  <si>
    <t>Delta_s</t>
  </si>
  <si>
    <t>[kg]</t>
  </si>
  <si>
    <t>Delta_m</t>
  </si>
  <si>
    <t>R_nm</t>
  </si>
  <si>
    <t>C_ts</t>
  </si>
  <si>
    <t>S_s</t>
  </si>
  <si>
    <t>[m^2]</t>
  </si>
  <si>
    <t>S_m</t>
  </si>
  <si>
    <t>C_fm</t>
  </si>
  <si>
    <t>R_ts</t>
  </si>
  <si>
    <t>Skala</t>
  </si>
  <si>
    <t>C_tm</t>
  </si>
  <si>
    <t>PE_s</t>
  </si>
  <si>
    <t>Temperatur</t>
  </si>
  <si>
    <t>Celsius</t>
  </si>
  <si>
    <t>C_r</t>
  </si>
  <si>
    <t xml:space="preserve">Modellskala </t>
  </si>
  <si>
    <t>1::193</t>
  </si>
  <si>
    <t>R_ns</t>
  </si>
  <si>
    <t>Modell</t>
  </si>
  <si>
    <t>V_M</t>
  </si>
  <si>
    <t>R_TM</t>
  </si>
  <si>
    <t>R_nM</t>
  </si>
  <si>
    <t>C_fM</t>
  </si>
  <si>
    <t>C_tM</t>
  </si>
  <si>
    <t>Froudes tall</t>
  </si>
  <si>
    <t>Skip</t>
  </si>
  <si>
    <t>V_S</t>
  </si>
  <si>
    <t>R_TS</t>
  </si>
  <si>
    <t>R_nS</t>
  </si>
  <si>
    <t>C_fS</t>
  </si>
  <si>
    <t>C_tS</t>
  </si>
  <si>
    <t>DTC</t>
  </si>
  <si>
    <t>V_DTC</t>
  </si>
  <si>
    <t>R_TDTC</t>
  </si>
  <si>
    <t>R_nDTC</t>
  </si>
  <si>
    <t>C_fDTC</t>
  </si>
  <si>
    <t>C_tDTC</t>
  </si>
  <si>
    <t>Froudes_DTC</t>
  </si>
  <si>
    <t>L</t>
  </si>
  <si>
    <t>m</t>
  </si>
  <si>
    <t>B_w</t>
  </si>
  <si>
    <t>T_m</t>
  </si>
  <si>
    <t>V</t>
  </si>
  <si>
    <t>m^3</t>
  </si>
  <si>
    <t>S_w</t>
  </si>
  <si>
    <t>m^2</t>
  </si>
  <si>
    <t>V_d</t>
  </si>
  <si>
    <t>knop</t>
  </si>
  <si>
    <t>DTC Fullskala</t>
  </si>
  <si>
    <t>V_DTC_S</t>
  </si>
  <si>
    <t>R_DTC_S</t>
  </si>
  <si>
    <t>Rho_s</t>
  </si>
  <si>
    <t>Rho_m</t>
  </si>
  <si>
    <t>R_n_DTC_S</t>
  </si>
  <si>
    <t>Data DTC modell</t>
  </si>
  <si>
    <t>C_fDTC_S</t>
  </si>
  <si>
    <t>C_tDTC_S</t>
  </si>
  <si>
    <t>C_rDTC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</si>
</sst>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"/>
    <numFmt numFmtId="166" formatCode="#,##0.000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0" fillId="0" borderId="0" xfId="0" applyNumberFormat="1"/>
    <xf numFmtId="4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0" borderId="6" xfId="0" applyBorder="1"/>
    <xf numFmtId="0" fontId="2" fillId="0" borderId="6" xfId="0" applyFont="1" applyBorder="1"/>
    <xf numFmtId="164" fontId="2" fillId="0" borderId="6" xfId="0" applyNumberFormat="1" applyFont="1" applyBorder="1"/>
    <xf numFmtId="0" fontId="2" fillId="0" borderId="7" xfId="0" applyFont="1" applyBorder="1"/>
    <xf numFmtId="164" fontId="0" fillId="0" borderId="4" xfId="0" applyNumberFormat="1" applyBorder="1"/>
    <xf numFmtId="164" fontId="2" fillId="0" borderId="7" xfId="0" applyNumberFormat="1" applyFont="1" applyBorder="1"/>
    <xf numFmtId="165" fontId="1" fillId="0" borderId="0" xfId="0" applyNumberFormat="1" applyFont="1" applyAlignment="1">
      <alignment horizontal="righ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Border="1"/>
    <xf numFmtId="0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0" fillId="0" borderId="6" xfId="0" applyNumberFormat="1" applyBorder="1"/>
    <xf numFmtId="164" fontId="0" fillId="0" borderId="7" xfId="0" applyNumberFormat="1" applyBorder="1"/>
    <xf numFmtId="4" fontId="0" fillId="0" borderId="6" xfId="0" applyNumberFormat="1" applyBorder="1"/>
    <xf numFmtId="0" fontId="0" fillId="0" borderId="0" xfId="0" applyFill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4" fillId="0" borderId="4" xfId="0" applyFont="1" applyBorder="1"/>
    <xf numFmtId="0" fontId="0" fillId="0" borderId="6" xfId="0" applyBorder="1" applyAlignment="1">
      <alignment horizontal="right"/>
    </xf>
    <xf numFmtId="0" fontId="4" fillId="0" borderId="7" xfId="0" applyFont="1" applyBorder="1"/>
    <xf numFmtId="166" fontId="0" fillId="0" borderId="4" xfId="0" applyNumberFormat="1" applyBorder="1"/>
    <xf numFmtId="3" fontId="0" fillId="0" borderId="4" xfId="0" applyNumberFormat="1" applyBorder="1"/>
    <xf numFmtId="11" fontId="0" fillId="0" borderId="0" xfId="0" applyNumberFormat="1"/>
    <xf numFmtId="11" fontId="0" fillId="0" borderId="6" xfId="0" applyNumberFormat="1" applyBorder="1"/>
    <xf numFmtId="0" fontId="3" fillId="2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Motstandskurve Fullskala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Fullskala HVL</c:v>
          </c:tx>
          <c:marker>
            <c:symbol val="none"/>
          </c:marker>
          <c:xVal>
            <c:numRef>
              <c:f>'Ark1'!$B$26:$B$40</c:f>
              <c:numCache>
                <c:formatCode>0.000000</c:formatCode>
                <c:ptCount val="15"/>
                <c:pt idx="0">
                  <c:v>0</c:v>
                </c:pt>
                <c:pt idx="1">
                  <c:v>1.3892443989449805</c:v>
                </c:pt>
                <c:pt idx="2">
                  <c:v>2.0838665984174707</c:v>
                </c:pt>
                <c:pt idx="3">
                  <c:v>2.7784887978899611</c:v>
                </c:pt>
                <c:pt idx="4">
                  <c:v>4.1677331968349414</c:v>
                </c:pt>
                <c:pt idx="5">
                  <c:v>5.5569775957799221</c:v>
                </c:pt>
                <c:pt idx="6">
                  <c:v>6.946221994724902</c:v>
                </c:pt>
                <c:pt idx="7">
                  <c:v>8.3354663936698827</c:v>
                </c:pt>
                <c:pt idx="8">
                  <c:v>9.7247107926148626</c:v>
                </c:pt>
                <c:pt idx="9">
                  <c:v>10.252623664213955</c:v>
                </c:pt>
                <c:pt idx="10">
                  <c:v>10.780536535813049</c:v>
                </c:pt>
                <c:pt idx="11">
                  <c:v>11.308449407412139</c:v>
                </c:pt>
                <c:pt idx="12">
                  <c:v>11.780792503053434</c:v>
                </c:pt>
                <c:pt idx="13">
                  <c:v>12.308705374652526</c:v>
                </c:pt>
                <c:pt idx="14">
                  <c:v>12.85051069024107</c:v>
                </c:pt>
              </c:numCache>
            </c:numRef>
          </c:xVal>
          <c:yVal>
            <c:numRef>
              <c:f>'Ark1'!$C$26:$C$40</c:f>
              <c:numCache>
                <c:formatCode>#,##0.00</c:formatCode>
                <c:ptCount val="15"/>
                <c:pt idx="0">
                  <c:v>0</c:v>
                </c:pt>
                <c:pt idx="1">
                  <c:v>130295.72997678192</c:v>
                </c:pt>
                <c:pt idx="2">
                  <c:v>423816.47120196209</c:v>
                </c:pt>
                <c:pt idx="3">
                  <c:v>715952.5590448936</c:v>
                </c:pt>
                <c:pt idx="4">
                  <c:v>1616693.8690686494</c:v>
                </c:pt>
                <c:pt idx="5">
                  <c:v>2876042.0574249402</c:v>
                </c:pt>
                <c:pt idx="6">
                  <c:v>4335254.7562440531</c:v>
                </c:pt>
                <c:pt idx="7">
                  <c:v>6276039.6183974333</c:v>
                </c:pt>
                <c:pt idx="8">
                  <c:v>8446620.4213270675</c:v>
                </c:pt>
                <c:pt idx="9">
                  <c:v>9274032.560431689</c:v>
                </c:pt>
                <c:pt idx="10">
                  <c:v>10269467.656538507</c:v>
                </c:pt>
                <c:pt idx="11">
                  <c:v>11333630.880195871</c:v>
                </c:pt>
                <c:pt idx="12">
                  <c:v>12315052.356777055</c:v>
                </c:pt>
                <c:pt idx="13">
                  <c:v>13635073.358948657</c:v>
                </c:pt>
                <c:pt idx="14">
                  <c:v>15030641.330397064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4E8-4942-AE43-F28C75A306D9}"/>
            </c:ext>
          </c:extLst>
        </c:ser>
        <c:ser>
          <c:idx val="0"/>
          <c:order val="1"/>
          <c:tx>
            <c:v>Fullskala DTC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'Ark1'!$B$51:$B$56</c:f>
              <c:numCache>
                <c:formatCode>General</c:formatCode>
                <c:ptCount val="6"/>
                <c:pt idx="0">
                  <c:v>10.289637533703507</c:v>
                </c:pt>
                <c:pt idx="1">
                  <c:v>10.798338715145029</c:v>
                </c:pt>
                <c:pt idx="2">
                  <c:v>11.322455083902961</c:v>
                </c:pt>
                <c:pt idx="3">
                  <c:v>11.831156265344481</c:v>
                </c:pt>
                <c:pt idx="4">
                  <c:v>12.347565040444209</c:v>
                </c:pt>
                <c:pt idx="5">
                  <c:v>12.856266221885729</c:v>
                </c:pt>
              </c:numCache>
            </c:numRef>
          </c:xVal>
          <c:yVal>
            <c:numRef>
              <c:f>'Ark1'!$C$51:$C$56</c:f>
              <c:numCache>
                <c:formatCode>#,##0.00</c:formatCode>
                <c:ptCount val="6"/>
                <c:pt idx="0">
                  <c:v>7053362.6248884043</c:v>
                </c:pt>
                <c:pt idx="1">
                  <c:v>7729158.2247559624</c:v>
                </c:pt>
                <c:pt idx="2">
                  <c:v>8511072.4933661614</c:v>
                </c:pt>
                <c:pt idx="3">
                  <c:v>9332379.2292520236</c:v>
                </c:pt>
                <c:pt idx="4">
                  <c:v>10266494.337071907</c:v>
                </c:pt>
                <c:pt idx="5">
                  <c:v>11259689.71324739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E8-4942-AE43-F28C75A30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6055567"/>
        <c:axId val="1971173903"/>
      </c:scatterChart>
      <c:valAx>
        <c:axId val="2036055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</c:title>
        <c:numFmt formatCode="0.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71173903"/>
        <c:crosses val="autoZero"/>
        <c:crossBetween val="midCat"/>
      </c:valAx>
      <c:valAx>
        <c:axId val="1971173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36055567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Motstandskurve DTC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'Ark1'!$B$43:$B$48</c:f>
              <c:numCache>
                <c:formatCode>General</c:formatCode>
                <c:ptCount val="6"/>
                <c:pt idx="0">
                  <c:v>1.335</c:v>
                </c:pt>
                <c:pt idx="1">
                  <c:v>1.401</c:v>
                </c:pt>
                <c:pt idx="2">
                  <c:v>1.4690000000000001</c:v>
                </c:pt>
                <c:pt idx="3">
                  <c:v>1.5349999999999999</c:v>
                </c:pt>
                <c:pt idx="4">
                  <c:v>1.6020000000000001</c:v>
                </c:pt>
                <c:pt idx="5">
                  <c:v>1.6679999999999999</c:v>
                </c:pt>
              </c:numCache>
            </c:numRef>
          </c:xVal>
          <c:yVal>
            <c:numRef>
              <c:f>'Ark1'!$C$43:$C$48</c:f>
              <c:numCache>
                <c:formatCode>General</c:formatCode>
                <c:ptCount val="6"/>
                <c:pt idx="0">
                  <c:v>20.34</c:v>
                </c:pt>
                <c:pt idx="1">
                  <c:v>22.06</c:v>
                </c:pt>
                <c:pt idx="2">
                  <c:v>24.14</c:v>
                </c:pt>
                <c:pt idx="3">
                  <c:v>26.36</c:v>
                </c:pt>
                <c:pt idx="4">
                  <c:v>28.99</c:v>
                </c:pt>
                <c:pt idx="5">
                  <c:v>31.83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27-42DB-B934-B2B8E78FF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048335"/>
        <c:axId val="1735015055"/>
      </c:scatterChart>
      <c:valAx>
        <c:axId val="1963048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Fart [m/s]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35015055"/>
        <c:crosses val="autoZero"/>
        <c:crossBetween val="midCat"/>
      </c:valAx>
      <c:valAx>
        <c:axId val="173501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Motstand</a:t>
                </a:r>
                <a:r>
                  <a:rPr lang="nb-NO" baseline="0"/>
                  <a:t> [N]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630483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Motstandskurve Modell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'Ark1'!$B$9:$B$23</c:f>
              <c:numCache>
                <c:formatCode>0.000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 formatCode="General">
                  <c:v>0.5</c:v>
                </c:pt>
                <c:pt idx="7" formatCode="General">
                  <c:v>0.6</c:v>
                </c:pt>
                <c:pt idx="8" formatCode="General">
                  <c:v>0.7</c:v>
                </c:pt>
                <c:pt idx="9" formatCode="General">
                  <c:v>0.73799999999999999</c:v>
                </c:pt>
                <c:pt idx="10" formatCode="General">
                  <c:v>0.77600000000000002</c:v>
                </c:pt>
                <c:pt idx="11" formatCode="General">
                  <c:v>0.81399999999999995</c:v>
                </c:pt>
                <c:pt idx="12" formatCode="General">
                  <c:v>0.84799999999999998</c:v>
                </c:pt>
                <c:pt idx="13" formatCode="General">
                  <c:v>0.88600000000000001</c:v>
                </c:pt>
                <c:pt idx="14" formatCode="General">
                  <c:v>0.92500000000000004</c:v>
                </c:pt>
              </c:numCache>
            </c:numRef>
          </c:xVal>
          <c:yVal>
            <c:numRef>
              <c:f>'Ark1'!$C$9:$C$23</c:f>
              <c:numCache>
                <c:formatCode>0.000000</c:formatCode>
                <c:ptCount val="15"/>
                <c:pt idx="0">
                  <c:v>0</c:v>
                </c:pt>
                <c:pt idx="1">
                  <c:v>1.17E-2</c:v>
                </c:pt>
                <c:pt idx="2">
                  <c:v>4.3119999999999999E-2</c:v>
                </c:pt>
                <c:pt idx="3">
                  <c:v>7.0300000000000001E-2</c:v>
                </c:pt>
                <c:pt idx="4">
                  <c:v>0.1545</c:v>
                </c:pt>
                <c:pt idx="5">
                  <c:v>0.26869999999999999</c:v>
                </c:pt>
                <c:pt idx="6">
                  <c:v>0.39019999999999999</c:v>
                </c:pt>
                <c:pt idx="7">
                  <c:v>0.55620000000000003</c:v>
                </c:pt>
                <c:pt idx="8">
                  <c:v>0.73170000000000002</c:v>
                </c:pt>
                <c:pt idx="9">
                  <c:v>0.79290000000000005</c:v>
                </c:pt>
                <c:pt idx="10">
                  <c:v>0.87360000000000004</c:v>
                </c:pt>
                <c:pt idx="11">
                  <c:v>0.96030000000000004</c:v>
                </c:pt>
                <c:pt idx="12">
                  <c:v>1.0389999999999999</c:v>
                </c:pt>
                <c:pt idx="13">
                  <c:v>1.1539999999999999</c:v>
                </c:pt>
                <c:pt idx="14">
                  <c:v>1.274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B4-4B0B-944B-6FDA8A360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6551039"/>
        <c:axId val="1649882463"/>
      </c:scatterChart>
      <c:valAx>
        <c:axId val="1976551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Fart [m/s]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9882463"/>
        <c:crosses val="autoZero"/>
        <c:crossBetween val="midCat"/>
      </c:valAx>
      <c:valAx>
        <c:axId val="1649882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Motstand</a:t>
                </a:r>
                <a:r>
                  <a:rPr lang="nb-NO" baseline="0"/>
                  <a:t> [N]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765510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Modell</a:t>
            </a:r>
            <a:r>
              <a:rPr lang="nb-NO" baseline="0"/>
              <a:t> HVL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'Ark1'!$B$9:$B$23</c:f>
              <c:numCache>
                <c:formatCode>0.000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 formatCode="General">
                  <c:v>0.5</c:v>
                </c:pt>
                <c:pt idx="7" formatCode="General">
                  <c:v>0.6</c:v>
                </c:pt>
                <c:pt idx="8" formatCode="General">
                  <c:v>0.7</c:v>
                </c:pt>
                <c:pt idx="9" formatCode="General">
                  <c:v>0.73799999999999999</c:v>
                </c:pt>
                <c:pt idx="10" formatCode="General">
                  <c:v>0.77600000000000002</c:v>
                </c:pt>
                <c:pt idx="11" formatCode="General">
                  <c:v>0.81399999999999995</c:v>
                </c:pt>
                <c:pt idx="12" formatCode="General">
                  <c:v>0.84799999999999998</c:v>
                </c:pt>
                <c:pt idx="13" formatCode="General">
                  <c:v>0.88600000000000001</c:v>
                </c:pt>
                <c:pt idx="14" formatCode="General">
                  <c:v>0.92500000000000004</c:v>
                </c:pt>
              </c:numCache>
            </c:numRef>
          </c:cat>
          <c:val>
            <c:numRef>
              <c:f>'Ark1'!$C$9:$C$23</c:f>
              <c:numCache>
                <c:formatCode>0.000000</c:formatCode>
                <c:ptCount val="15"/>
                <c:pt idx="0">
                  <c:v>0</c:v>
                </c:pt>
                <c:pt idx="1">
                  <c:v>1.17E-2</c:v>
                </c:pt>
                <c:pt idx="2">
                  <c:v>4.3119999999999999E-2</c:v>
                </c:pt>
                <c:pt idx="3">
                  <c:v>7.0300000000000001E-2</c:v>
                </c:pt>
                <c:pt idx="4">
                  <c:v>0.1545</c:v>
                </c:pt>
                <c:pt idx="5">
                  <c:v>0.26869999999999999</c:v>
                </c:pt>
                <c:pt idx="6">
                  <c:v>0.39019999999999999</c:v>
                </c:pt>
                <c:pt idx="7">
                  <c:v>0.55620000000000003</c:v>
                </c:pt>
                <c:pt idx="8">
                  <c:v>0.73170000000000002</c:v>
                </c:pt>
                <c:pt idx="9">
                  <c:v>0.79290000000000005</c:v>
                </c:pt>
                <c:pt idx="10">
                  <c:v>0.87360000000000004</c:v>
                </c:pt>
                <c:pt idx="11">
                  <c:v>0.96030000000000004</c:v>
                </c:pt>
                <c:pt idx="12">
                  <c:v>1.0389999999999999</c:v>
                </c:pt>
                <c:pt idx="13">
                  <c:v>1.1539999999999999</c:v>
                </c:pt>
                <c:pt idx="14">
                  <c:v>1.274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E7-4782-ACE9-91EC2E475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227295"/>
        <c:axId val="1732015199"/>
      </c:lineChart>
      <c:catAx>
        <c:axId val="2043227295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32015199"/>
        <c:crosses val="autoZero"/>
        <c:auto val="1"/>
        <c:lblAlgn val="ctr"/>
        <c:lblOffset val="100"/>
        <c:noMultiLvlLbl val="0"/>
      </c:catAx>
      <c:valAx>
        <c:axId val="1732015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43227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Fullskala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'Ark1'!$B$51:$B$56</c:f>
              <c:numCache>
                <c:formatCode>General</c:formatCode>
                <c:ptCount val="6"/>
                <c:pt idx="0">
                  <c:v>10.289637533703507</c:v>
                </c:pt>
                <c:pt idx="1">
                  <c:v>10.798338715145029</c:v>
                </c:pt>
                <c:pt idx="2">
                  <c:v>11.322455083902961</c:v>
                </c:pt>
                <c:pt idx="3">
                  <c:v>11.831156265344481</c:v>
                </c:pt>
                <c:pt idx="4">
                  <c:v>12.347565040444209</c:v>
                </c:pt>
                <c:pt idx="5">
                  <c:v>12.856266221885729</c:v>
                </c:pt>
              </c:numCache>
            </c:numRef>
          </c:xVal>
          <c:yVal>
            <c:numRef>
              <c:f>'Ark1'!$C$51:$C$56</c:f>
              <c:numCache>
                <c:formatCode>#,##0.00</c:formatCode>
                <c:ptCount val="6"/>
                <c:pt idx="0">
                  <c:v>7053362.6248884043</c:v>
                </c:pt>
                <c:pt idx="1">
                  <c:v>7729158.2247559624</c:v>
                </c:pt>
                <c:pt idx="2">
                  <c:v>8511072.4933661614</c:v>
                </c:pt>
                <c:pt idx="3">
                  <c:v>9332379.2292520236</c:v>
                </c:pt>
                <c:pt idx="4">
                  <c:v>10266494.337071907</c:v>
                </c:pt>
                <c:pt idx="5">
                  <c:v>11259689.71324739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74-4558-9ABB-E8570B041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6055567"/>
        <c:axId val="1971173903"/>
      </c:scatterChart>
      <c:valAx>
        <c:axId val="2036055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71173903"/>
        <c:crosses val="autoZero"/>
        <c:crossBetween val="midCat"/>
      </c:valAx>
      <c:valAx>
        <c:axId val="1971173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360555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20</xdr:row>
      <xdr:rowOff>1</xdr:rowOff>
    </xdr:from>
    <xdr:to>
      <xdr:col>21</xdr:col>
      <xdr:colOff>19049</xdr:colOff>
      <xdr:row>40</xdr:row>
      <xdr:rowOff>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E6D4F81-17D6-4973-866D-C12A3F8306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9524</xdr:colOff>
      <xdr:row>59</xdr:row>
      <xdr:rowOff>185736</xdr:rowOff>
    </xdr:from>
    <xdr:to>
      <xdr:col>21</xdr:col>
      <xdr:colOff>19050</xdr:colOff>
      <xdr:row>82</xdr:row>
      <xdr:rowOff>19050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6A79CA7-6B0A-4E90-9A5D-44726BF8E3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59</xdr:row>
      <xdr:rowOff>190499</xdr:rowOff>
    </xdr:from>
    <xdr:to>
      <xdr:col>10</xdr:col>
      <xdr:colOff>419100</xdr:colOff>
      <xdr:row>81</xdr:row>
      <xdr:rowOff>180974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91E2F7C-8240-4BA7-9377-E4A6E26640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761999</xdr:colOff>
      <xdr:row>0</xdr:row>
      <xdr:rowOff>4761</xdr:rowOff>
    </xdr:from>
    <xdr:to>
      <xdr:col>21</xdr:col>
      <xdr:colOff>9524</xdr:colOff>
      <xdr:row>19</xdr:row>
      <xdr:rowOff>28574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A22BBD1C-95BF-4473-B524-FB36C99901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9525</xdr:colOff>
      <xdr:row>41</xdr:row>
      <xdr:rowOff>0</xdr:rowOff>
    </xdr:from>
    <xdr:to>
      <xdr:col>20</xdr:col>
      <xdr:colOff>752475</xdr:colOff>
      <xdr:row>59</xdr:row>
      <xdr:rowOff>133349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905E31C6-013D-4DB3-B1BC-8A51574EF8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9A840-ADEC-445D-90D4-879A1B081669}">
  <dimension ref="A1:J56"/>
  <sheetViews>
    <sheetView tabSelected="1" zoomScaleNormal="100" workbookViewId="0">
      <selection activeCell="E43" sqref="E43"/>
    </sheetView>
  </sheetViews>
  <sheetFormatPr baseColWidth="10" defaultColWidth="11.42578125" defaultRowHeight="15" x14ac:dyDescent="0.25"/>
  <cols>
    <col min="1" max="1" width="12.28515625" customWidth="1"/>
    <col min="2" max="2" width="13.42578125" bestFit="1" customWidth="1"/>
    <col min="3" max="3" width="13.28515625" customWidth="1"/>
    <col min="4" max="4" width="12" bestFit="1" customWidth="1"/>
    <col min="5" max="5" width="11" bestFit="1" customWidth="1"/>
    <col min="6" max="6" width="14.140625" bestFit="1" customWidth="1"/>
    <col min="7" max="7" width="12.7109375" bestFit="1" customWidth="1"/>
    <col min="8" max="8" width="12.7109375" customWidth="1"/>
    <col min="10" max="10" width="16.5703125" bestFit="1" customWidth="1"/>
  </cols>
  <sheetData>
    <row r="1" spans="1:10" x14ac:dyDescent="0.25">
      <c r="A1" s="6" t="s">
        <v>0</v>
      </c>
      <c r="B1">
        <v>355</v>
      </c>
      <c r="C1" s="29" t="s">
        <v>1</v>
      </c>
      <c r="D1" s="6" t="s">
        <v>2</v>
      </c>
      <c r="E1">
        <f>B1/B4</f>
        <v>1.839378238341969</v>
      </c>
      <c r="F1" s="29" t="s">
        <v>1</v>
      </c>
      <c r="G1" s="6" t="s">
        <v>3</v>
      </c>
      <c r="H1">
        <f>(B2*999)/((B4^3)*1025)</f>
        <v>23.517387064473265</v>
      </c>
      <c r="I1" s="6" t="s">
        <v>4</v>
      </c>
      <c r="J1" s="32">
        <f>0.075/((LOG(H6)-2)^2)</f>
        <v>3.662411941981498E-3</v>
      </c>
    </row>
    <row r="2" spans="1:10" x14ac:dyDescent="0.25">
      <c r="A2" s="6" t="s">
        <v>5</v>
      </c>
      <c r="B2" s="5">
        <v>173468000</v>
      </c>
      <c r="C2" s="29" t="s">
        <v>6</v>
      </c>
      <c r="D2" s="6" t="s">
        <v>7</v>
      </c>
      <c r="E2">
        <f>B2/(B4)^2</f>
        <v>4656.9840801095334</v>
      </c>
      <c r="F2" s="29" t="s">
        <v>6</v>
      </c>
      <c r="G2" s="6" t="s">
        <v>8</v>
      </c>
      <c r="H2">
        <f>(B18*$E$1)/1.14*10^-6</f>
        <v>1.1907553858740115E-6</v>
      </c>
      <c r="I2" s="6" t="s">
        <v>9</v>
      </c>
      <c r="J2" s="32">
        <f>J1+H5+(0.4*10^-3)</f>
        <v>7.7955518361861745E-3</v>
      </c>
    </row>
    <row r="3" spans="1:10" x14ac:dyDescent="0.25">
      <c r="A3" s="6" t="s">
        <v>10</v>
      </c>
      <c r="B3">
        <v>22032</v>
      </c>
      <c r="C3" s="29" t="s">
        <v>11</v>
      </c>
      <c r="D3" s="6" t="s">
        <v>12</v>
      </c>
      <c r="E3">
        <f>B3/(B4)^2</f>
        <v>0.59147896587827864</v>
      </c>
      <c r="F3" s="29" t="s">
        <v>11</v>
      </c>
      <c r="G3" s="6" t="s">
        <v>13</v>
      </c>
      <c r="H3">
        <f>(0.075)/(LOG(H2)-2)^2</f>
        <v>1.1944084829943042E-3</v>
      </c>
      <c r="I3" s="6" t="s">
        <v>14</v>
      </c>
      <c r="J3" s="33">
        <f>J2*0.5*1025*B3*B35^2</f>
        <v>9252619.2054578289</v>
      </c>
    </row>
    <row r="4" spans="1:10" x14ac:dyDescent="0.25">
      <c r="A4" s="6" t="s">
        <v>15</v>
      </c>
      <c r="B4" s="1">
        <v>193</v>
      </c>
      <c r="C4" s="29"/>
      <c r="D4" s="6" t="s">
        <v>57</v>
      </c>
      <c r="E4">
        <v>1025</v>
      </c>
      <c r="F4" s="28"/>
      <c r="G4" s="6" t="s">
        <v>16</v>
      </c>
      <c r="H4">
        <f>(C18)/(0.5*999*$E$3*B18^2)</f>
        <v>4.9275483771989807E-3</v>
      </c>
      <c r="I4" s="6" t="s">
        <v>17</v>
      </c>
      <c r="J4" s="33">
        <f>J3*B35</f>
        <v>94863622.621837452</v>
      </c>
    </row>
    <row r="5" spans="1:10" x14ac:dyDescent="0.25">
      <c r="A5" s="6" t="s">
        <v>18</v>
      </c>
      <c r="B5">
        <v>14</v>
      </c>
      <c r="C5" s="29" t="s">
        <v>19</v>
      </c>
      <c r="D5" s="6" t="s">
        <v>58</v>
      </c>
      <c r="E5">
        <v>999</v>
      </c>
      <c r="F5" s="28"/>
      <c r="G5" s="6" t="s">
        <v>20</v>
      </c>
      <c r="H5">
        <f>H4-H3</f>
        <v>3.7331398942046764E-3</v>
      </c>
      <c r="J5" s="28"/>
    </row>
    <row r="6" spans="1:10" x14ac:dyDescent="0.25">
      <c r="A6" s="13" t="s">
        <v>21</v>
      </c>
      <c r="B6" s="30" t="s">
        <v>22</v>
      </c>
      <c r="C6" s="31"/>
      <c r="D6" s="12"/>
      <c r="E6" s="12"/>
      <c r="F6" s="20"/>
      <c r="G6" s="13" t="s">
        <v>23</v>
      </c>
      <c r="H6" s="12">
        <f>(B35*B1)/(1.22*10^6)</f>
        <v>2.9833454104884866E-3</v>
      </c>
      <c r="I6" s="12"/>
      <c r="J6" s="20"/>
    </row>
    <row r="8" spans="1:10" x14ac:dyDescent="0.25">
      <c r="A8" s="36" t="s">
        <v>24</v>
      </c>
      <c r="B8" s="13" t="s">
        <v>25</v>
      </c>
      <c r="C8" s="13" t="s">
        <v>26</v>
      </c>
      <c r="D8" s="13" t="s">
        <v>27</v>
      </c>
      <c r="E8" s="14" t="s">
        <v>28</v>
      </c>
      <c r="F8" s="13" t="s">
        <v>29</v>
      </c>
      <c r="G8" s="15" t="s">
        <v>30</v>
      </c>
    </row>
    <row r="9" spans="1:10" x14ac:dyDescent="0.25">
      <c r="A9" s="36"/>
      <c r="B9" s="18">
        <v>0</v>
      </c>
      <c r="C9" s="3">
        <v>0</v>
      </c>
      <c r="D9">
        <f t="shared" ref="D9:D23" si="0">(B9*$E$1)/1.14*10^-6</f>
        <v>0</v>
      </c>
      <c r="E9" s="4" t="e">
        <f>(0.075)/(LOG(D9)-2)^2</f>
        <v>#NUM!</v>
      </c>
      <c r="F9" s="4" t="e">
        <f>C9/(0.5*$E$5*$E$3*B9^2)</f>
        <v>#DIV/0!</v>
      </c>
      <c r="G9" s="16">
        <f t="shared" ref="G9:G23" si="1">B9/SQRT(9.81*$E$1)</f>
        <v>0</v>
      </c>
      <c r="I9" s="4"/>
    </row>
    <row r="10" spans="1:10" x14ac:dyDescent="0.25">
      <c r="A10" s="36"/>
      <c r="B10" s="18">
        <v>0.1</v>
      </c>
      <c r="C10" s="3">
        <v>1.17E-2</v>
      </c>
      <c r="D10">
        <f t="shared" si="0"/>
        <v>1.6134896827561135E-7</v>
      </c>
      <c r="E10" s="4">
        <f t="shared" ref="E10:E23" si="2">(0.075)/(LOG(D10)-2)^2</f>
        <v>9.7020343144859234E-4</v>
      </c>
      <c r="F10" s="4">
        <f t="shared" ref="F10:F23" si="3">C10/(0.5*$E$5*$E$3*B10^2)</f>
        <v>3.9601447853081836E-3</v>
      </c>
      <c r="G10" s="16">
        <f t="shared" si="1"/>
        <v>2.3541274656820852E-2</v>
      </c>
      <c r="I10" s="4"/>
    </row>
    <row r="11" spans="1:10" x14ac:dyDescent="0.25">
      <c r="A11" s="36"/>
      <c r="B11" s="18">
        <v>0.15</v>
      </c>
      <c r="C11" s="3">
        <v>4.3119999999999999E-2</v>
      </c>
      <c r="D11">
        <f t="shared" si="0"/>
        <v>2.4202345241341695E-7</v>
      </c>
      <c r="E11" s="4">
        <f t="shared" si="2"/>
        <v>1.0102654770826097E-3</v>
      </c>
      <c r="F11" s="4">
        <f t="shared" si="3"/>
        <v>6.4866645068371838E-3</v>
      </c>
      <c r="G11" s="16">
        <f t="shared" si="1"/>
        <v>3.5311911985231273E-2</v>
      </c>
      <c r="I11" s="4"/>
    </row>
    <row r="12" spans="1:10" x14ac:dyDescent="0.25">
      <c r="A12" s="36"/>
      <c r="B12" s="18">
        <v>0.2</v>
      </c>
      <c r="C12" s="3">
        <v>7.0300000000000001E-2</v>
      </c>
      <c r="D12">
        <f t="shared" si="0"/>
        <v>3.2269793655122271E-7</v>
      </c>
      <c r="E12" s="4">
        <f t="shared" si="2"/>
        <v>1.040214091907705E-3</v>
      </c>
      <c r="F12" s="4">
        <f t="shared" si="3"/>
        <v>5.94867902579413E-3</v>
      </c>
      <c r="G12" s="16">
        <f t="shared" si="1"/>
        <v>4.7082549313641704E-2</v>
      </c>
      <c r="I12" s="4"/>
    </row>
    <row r="13" spans="1:10" x14ac:dyDescent="0.25">
      <c r="A13" s="36"/>
      <c r="B13" s="18">
        <v>0.3</v>
      </c>
      <c r="C13" s="3">
        <v>0.1545</v>
      </c>
      <c r="D13">
        <f t="shared" si="0"/>
        <v>4.840469048268339E-7</v>
      </c>
      <c r="E13" s="4">
        <f t="shared" si="2"/>
        <v>1.084738361300192E-3</v>
      </c>
      <c r="F13" s="4">
        <f t="shared" si="3"/>
        <v>5.8104688445404975E-3</v>
      </c>
      <c r="G13" s="16">
        <f t="shared" si="1"/>
        <v>7.0623823970462546E-2</v>
      </c>
      <c r="I13" s="4"/>
    </row>
    <row r="14" spans="1:10" x14ac:dyDescent="0.25">
      <c r="A14" s="36"/>
      <c r="B14" s="18">
        <v>0.4</v>
      </c>
      <c r="C14" s="3">
        <v>0.26869999999999999</v>
      </c>
      <c r="D14">
        <f t="shared" si="0"/>
        <v>6.4539587310244541E-7</v>
      </c>
      <c r="E14" s="4">
        <f t="shared" si="2"/>
        <v>1.1180855276145686E-3</v>
      </c>
      <c r="F14" s="4">
        <f t="shared" si="3"/>
        <v>5.6842462810486579E-3</v>
      </c>
      <c r="G14" s="16">
        <f t="shared" si="1"/>
        <v>9.4165098627283408E-2</v>
      </c>
      <c r="I14" s="4"/>
    </row>
    <row r="15" spans="1:10" x14ac:dyDescent="0.25">
      <c r="A15" s="36"/>
      <c r="B15" s="2">
        <v>0.5</v>
      </c>
      <c r="C15" s="3">
        <v>0.39019999999999999</v>
      </c>
      <c r="D15">
        <f t="shared" si="0"/>
        <v>8.0674484137805661E-7</v>
      </c>
      <c r="E15" s="4">
        <f t="shared" si="2"/>
        <v>1.1450221029433369E-3</v>
      </c>
      <c r="F15" s="4">
        <f t="shared" si="3"/>
        <v>5.2829008383837714E-3</v>
      </c>
      <c r="G15" s="16">
        <f t="shared" si="1"/>
        <v>0.11770637328410426</v>
      </c>
      <c r="I15" s="4"/>
    </row>
    <row r="16" spans="1:10" x14ac:dyDescent="0.25">
      <c r="A16" s="36"/>
      <c r="B16" s="2">
        <v>0.6</v>
      </c>
      <c r="C16" s="3">
        <v>0.55620000000000003</v>
      </c>
      <c r="D16">
        <f t="shared" si="0"/>
        <v>9.680938096536678E-7</v>
      </c>
      <c r="E16" s="4">
        <f t="shared" si="2"/>
        <v>1.1677601193491806E-3</v>
      </c>
      <c r="F16" s="4">
        <f t="shared" si="3"/>
        <v>5.2294219600864476E-3</v>
      </c>
      <c r="G16" s="16">
        <f t="shared" si="1"/>
        <v>0.14124764794092509</v>
      </c>
      <c r="I16" s="4"/>
    </row>
    <row r="17" spans="1:9" x14ac:dyDescent="0.25">
      <c r="A17" s="36"/>
      <c r="B17" s="2">
        <v>0.7</v>
      </c>
      <c r="C17" s="3">
        <v>0.73170000000000002</v>
      </c>
      <c r="D17">
        <f t="shared" si="0"/>
        <v>1.1294427779292792E-6</v>
      </c>
      <c r="E17" s="4">
        <f t="shared" si="2"/>
        <v>1.1875174454561046E-3</v>
      </c>
      <c r="F17" s="4">
        <f t="shared" si="3"/>
        <v>5.0543135171986714E-3</v>
      </c>
      <c r="G17" s="16">
        <f t="shared" si="1"/>
        <v>0.16478892259774594</v>
      </c>
      <c r="I17" s="4"/>
    </row>
    <row r="18" spans="1:9" x14ac:dyDescent="0.25">
      <c r="A18" s="36"/>
      <c r="B18" s="2">
        <v>0.73799999999999999</v>
      </c>
      <c r="C18" s="3">
        <v>0.79290000000000005</v>
      </c>
      <c r="D18">
        <f t="shared" si="0"/>
        <v>1.1907553858740115E-6</v>
      </c>
      <c r="E18" s="4">
        <f t="shared" si="2"/>
        <v>1.1944084829943042E-3</v>
      </c>
      <c r="F18" s="4">
        <f t="shared" si="3"/>
        <v>4.9275483771989807E-3</v>
      </c>
      <c r="G18" s="16">
        <f t="shared" si="1"/>
        <v>0.17373460696733786</v>
      </c>
      <c r="I18" s="4"/>
    </row>
    <row r="19" spans="1:9" x14ac:dyDescent="0.25">
      <c r="A19" s="36"/>
      <c r="B19" s="2">
        <v>0.77600000000000002</v>
      </c>
      <c r="C19" s="3">
        <v>0.87360000000000004</v>
      </c>
      <c r="D19">
        <f t="shared" si="0"/>
        <v>1.252067993818744E-6</v>
      </c>
      <c r="E19" s="4">
        <f t="shared" si="2"/>
        <v>1.2010091438769722E-3</v>
      </c>
      <c r="F19" s="4">
        <f t="shared" si="3"/>
        <v>4.9103718951991502E-3</v>
      </c>
      <c r="G19" s="16">
        <f t="shared" si="1"/>
        <v>0.18268029133692981</v>
      </c>
      <c r="I19" s="4"/>
    </row>
    <row r="20" spans="1:9" x14ac:dyDescent="0.25">
      <c r="A20" s="36"/>
      <c r="B20" s="2">
        <v>0.81399999999999995</v>
      </c>
      <c r="C20" s="3">
        <v>0.96030000000000004</v>
      </c>
      <c r="D20">
        <f t="shared" si="0"/>
        <v>1.3133806017634761E-6</v>
      </c>
      <c r="E20" s="4">
        <f t="shared" si="2"/>
        <v>1.2073451639842037E-3</v>
      </c>
      <c r="F20" s="4">
        <f t="shared" si="3"/>
        <v>4.9055004696258028E-3</v>
      </c>
      <c r="G20" s="16">
        <f t="shared" si="1"/>
        <v>0.19162597570652171</v>
      </c>
      <c r="I20" s="4"/>
    </row>
    <row r="21" spans="1:9" x14ac:dyDescent="0.25">
      <c r="A21" s="36"/>
      <c r="B21" s="2">
        <v>0.84799999999999998</v>
      </c>
      <c r="C21" s="3">
        <v>1.0389999999999999</v>
      </c>
      <c r="D21">
        <f t="shared" si="0"/>
        <v>1.3682392509771842E-6</v>
      </c>
      <c r="E21" s="4">
        <f t="shared" si="2"/>
        <v>1.2128082764282415E-3</v>
      </c>
      <c r="F21" s="4">
        <f t="shared" si="3"/>
        <v>4.8904525060616778E-3</v>
      </c>
      <c r="G21" s="16">
        <f t="shared" si="1"/>
        <v>0.1996300090898408</v>
      </c>
      <c r="I21" s="4"/>
    </row>
    <row r="22" spans="1:9" x14ac:dyDescent="0.25">
      <c r="A22" s="36"/>
      <c r="B22" s="2">
        <v>0.88600000000000001</v>
      </c>
      <c r="C22" s="3">
        <v>1.1539999999999999</v>
      </c>
      <c r="D22">
        <f t="shared" si="0"/>
        <v>1.4295518589219165E-6</v>
      </c>
      <c r="E22" s="4">
        <f t="shared" si="2"/>
        <v>1.2187019390585473E-3</v>
      </c>
      <c r="F22" s="4">
        <f t="shared" si="3"/>
        <v>4.9758074680435445E-3</v>
      </c>
      <c r="G22" s="16">
        <f t="shared" si="1"/>
        <v>0.20857569345943275</v>
      </c>
      <c r="I22" s="4"/>
    </row>
    <row r="23" spans="1:9" x14ac:dyDescent="0.25">
      <c r="A23" s="36"/>
      <c r="B23" s="21">
        <v>0.92500000000000004</v>
      </c>
      <c r="C23" s="22">
        <v>1.274</v>
      </c>
      <c r="D23" s="12">
        <f t="shared" si="0"/>
        <v>1.492477956549405E-6</v>
      </c>
      <c r="E23" s="23">
        <f t="shared" si="2"/>
        <v>1.2245354354169181E-3</v>
      </c>
      <c r="F23" s="23">
        <f t="shared" si="3"/>
        <v>5.039775199548114E-3</v>
      </c>
      <c r="G23" s="24">
        <f t="shared" si="1"/>
        <v>0.21775679057559288</v>
      </c>
      <c r="I23" s="4"/>
    </row>
    <row r="24" spans="1:9" x14ac:dyDescent="0.25">
      <c r="A24" s="38"/>
      <c r="B24" s="38"/>
      <c r="C24" s="38"/>
      <c r="D24" s="38"/>
      <c r="E24" s="38"/>
      <c r="F24" s="38"/>
      <c r="G24" s="38"/>
      <c r="I24" s="4"/>
    </row>
    <row r="25" spans="1:9" x14ac:dyDescent="0.25">
      <c r="A25" s="36" t="s">
        <v>31</v>
      </c>
      <c r="B25" s="13" t="s">
        <v>32</v>
      </c>
      <c r="C25" s="13" t="s">
        <v>33</v>
      </c>
      <c r="D25" s="14" t="s">
        <v>34</v>
      </c>
      <c r="E25" s="13" t="s">
        <v>35</v>
      </c>
      <c r="F25" s="13" t="s">
        <v>36</v>
      </c>
      <c r="G25" s="17" t="s">
        <v>20</v>
      </c>
      <c r="H25" s="4"/>
      <c r="I25" s="4"/>
    </row>
    <row r="26" spans="1:9" x14ac:dyDescent="0.25">
      <c r="A26" s="36"/>
      <c r="B26" s="4">
        <f t="shared" ref="B26:B40" si="4">B9*SQRT($B$4)</f>
        <v>0</v>
      </c>
      <c r="C26" s="5" t="e">
        <f>F26*0.5*$E$4*$B$3*B26^2</f>
        <v>#NUM!</v>
      </c>
      <c r="D26" s="4">
        <f>(B26*$B$1)/(1.1892*10^6)</f>
        <v>0</v>
      </c>
      <c r="E26" s="4" t="e">
        <f>0.075/((LOG10(D26)-2)^2)</f>
        <v>#NUM!</v>
      </c>
      <c r="F26" t="e">
        <f>E26+G26+(0.4*10^-3)</f>
        <v>#NUM!</v>
      </c>
      <c r="G26" s="16" t="e">
        <f t="shared" ref="G26:G40" si="5">F9-E9</f>
        <v>#DIV/0!</v>
      </c>
    </row>
    <row r="27" spans="1:9" x14ac:dyDescent="0.25">
      <c r="A27" s="36"/>
      <c r="B27" s="4">
        <f t="shared" si="4"/>
        <v>1.3892443989449805</v>
      </c>
      <c r="C27" s="5">
        <f t="shared" ref="C27:C40" si="6">F27*0.5*$E$4*$B$3*B27^2</f>
        <v>130295.72997678192</v>
      </c>
      <c r="D27" s="4">
        <f t="shared" ref="D27:D40" si="7">(B27*$B$1)/(1.1892*10^6)</f>
        <v>4.147172566645376E-4</v>
      </c>
      <c r="E27" s="4">
        <f t="shared" ref="E27:E40" si="8">0.075/((LOG10(D27)-2)^2)</f>
        <v>2.5890108505271432E-3</v>
      </c>
      <c r="F27">
        <f t="shared" ref="F27:F40" si="9">E27+G27+(0.4*10^-3)</f>
        <v>5.978952204386735E-3</v>
      </c>
      <c r="G27" s="16">
        <f t="shared" si="5"/>
        <v>2.9899413538595912E-3</v>
      </c>
    </row>
    <row r="28" spans="1:9" x14ac:dyDescent="0.25">
      <c r="A28" s="36"/>
      <c r="B28" s="4">
        <f t="shared" si="4"/>
        <v>2.0838665984174707</v>
      </c>
      <c r="C28" s="5">
        <f t="shared" si="6"/>
        <v>423816.47120196209</v>
      </c>
      <c r="D28" s="4">
        <f t="shared" si="7"/>
        <v>6.2207588499680634E-4</v>
      </c>
      <c r="E28" s="4">
        <f t="shared" si="8"/>
        <v>2.7671124147278167E-3</v>
      </c>
      <c r="F28">
        <f t="shared" si="9"/>
        <v>8.6435114444823897E-3</v>
      </c>
      <c r="G28" s="16">
        <f t="shared" si="5"/>
        <v>5.4763990297545737E-3</v>
      </c>
    </row>
    <row r="29" spans="1:9" x14ac:dyDescent="0.25">
      <c r="A29" s="36"/>
      <c r="B29" s="4">
        <f t="shared" si="4"/>
        <v>2.7784887978899611</v>
      </c>
      <c r="C29" s="5">
        <f t="shared" si="6"/>
        <v>715952.5590448936</v>
      </c>
      <c r="D29" s="4">
        <f t="shared" si="7"/>
        <v>8.294345133290752E-4</v>
      </c>
      <c r="E29" s="4">
        <f t="shared" si="8"/>
        <v>2.9048628012215911E-3</v>
      </c>
      <c r="F29">
        <f t="shared" si="9"/>
        <v>8.2133277351080156E-3</v>
      </c>
      <c r="G29" s="16">
        <f t="shared" si="5"/>
        <v>4.9084649338864252E-3</v>
      </c>
    </row>
    <row r="30" spans="1:9" x14ac:dyDescent="0.25">
      <c r="A30" s="36"/>
      <c r="B30" s="4">
        <f t="shared" si="4"/>
        <v>4.1677331968349414</v>
      </c>
      <c r="C30" s="5">
        <f t="shared" si="6"/>
        <v>1616693.8690686494</v>
      </c>
      <c r="D30" s="4">
        <f t="shared" si="7"/>
        <v>1.2441517699936127E-3</v>
      </c>
      <c r="E30" s="4">
        <f t="shared" si="8"/>
        <v>3.1171723467799382E-3</v>
      </c>
      <c r="F30">
        <f t="shared" si="9"/>
        <v>8.2429028300202434E-3</v>
      </c>
      <c r="G30" s="16">
        <f t="shared" si="5"/>
        <v>4.7257304832403054E-3</v>
      </c>
    </row>
    <row r="31" spans="1:9" x14ac:dyDescent="0.25">
      <c r="A31" s="36"/>
      <c r="B31" s="4">
        <f t="shared" si="4"/>
        <v>5.5569775957799221</v>
      </c>
      <c r="C31" s="5">
        <f t="shared" si="6"/>
        <v>2876042.0574249402</v>
      </c>
      <c r="D31" s="4">
        <f t="shared" si="7"/>
        <v>1.6588690266581504E-3</v>
      </c>
      <c r="E31" s="4">
        <f t="shared" si="8"/>
        <v>3.2822475032169567E-3</v>
      </c>
      <c r="F31">
        <f t="shared" si="9"/>
        <v>8.2484082566510446E-3</v>
      </c>
      <c r="G31" s="16">
        <f t="shared" si="5"/>
        <v>4.5661607534340891E-3</v>
      </c>
    </row>
    <row r="32" spans="1:9" x14ac:dyDescent="0.25">
      <c r="A32" s="36"/>
      <c r="B32" s="4">
        <f t="shared" si="4"/>
        <v>6.946221994724902</v>
      </c>
      <c r="C32" s="5">
        <f t="shared" si="6"/>
        <v>4335254.7562440531</v>
      </c>
      <c r="D32" s="4">
        <f t="shared" si="7"/>
        <v>2.0735862833226879E-3</v>
      </c>
      <c r="E32" s="4">
        <f t="shared" si="8"/>
        <v>3.419490546282716E-3</v>
      </c>
      <c r="F32">
        <f t="shared" si="9"/>
        <v>7.9573692817231506E-3</v>
      </c>
      <c r="G32" s="16">
        <f t="shared" si="5"/>
        <v>4.1378787354404345E-3</v>
      </c>
    </row>
    <row r="33" spans="1:10" x14ac:dyDescent="0.25">
      <c r="A33" s="36"/>
      <c r="B33" s="4">
        <f t="shared" si="4"/>
        <v>8.3354663936698827</v>
      </c>
      <c r="C33" s="5">
        <f t="shared" si="6"/>
        <v>6276039.6183974333</v>
      </c>
      <c r="D33" s="4">
        <f t="shared" si="7"/>
        <v>2.4883035399872254E-3</v>
      </c>
      <c r="E33" s="4">
        <f t="shared" si="8"/>
        <v>3.5381187178433397E-3</v>
      </c>
      <c r="F33">
        <f t="shared" si="9"/>
        <v>7.9997805585806069E-3</v>
      </c>
      <c r="G33" s="16">
        <f t="shared" si="5"/>
        <v>4.0616618407372674E-3</v>
      </c>
    </row>
    <row r="34" spans="1:10" x14ac:dyDescent="0.25">
      <c r="A34" s="36"/>
      <c r="B34" s="4">
        <f t="shared" si="4"/>
        <v>9.7247107926148626</v>
      </c>
      <c r="C34" s="5">
        <f t="shared" si="6"/>
        <v>8446620.4213270675</v>
      </c>
      <c r="D34" s="4">
        <f t="shared" si="7"/>
        <v>2.9030207966517629E-3</v>
      </c>
      <c r="E34" s="4">
        <f t="shared" si="8"/>
        <v>3.6433006949429764E-3</v>
      </c>
      <c r="F34">
        <f t="shared" si="9"/>
        <v>7.9100967666855433E-3</v>
      </c>
      <c r="G34" s="16">
        <f t="shared" si="5"/>
        <v>3.8667960717425668E-3</v>
      </c>
    </row>
    <row r="35" spans="1:10" x14ac:dyDescent="0.25">
      <c r="A35" s="36"/>
      <c r="B35" s="4">
        <f t="shared" si="4"/>
        <v>10.252623664213955</v>
      </c>
      <c r="C35" s="5">
        <f t="shared" si="6"/>
        <v>9274032.560431689</v>
      </c>
      <c r="D35" s="4">
        <f t="shared" si="7"/>
        <v>3.0606133541842867E-3</v>
      </c>
      <c r="E35" s="4">
        <f t="shared" si="8"/>
        <v>3.6804532030534905E-3</v>
      </c>
      <c r="F35">
        <f t="shared" si="9"/>
        <v>7.8135930972581657E-3</v>
      </c>
      <c r="G35" s="16">
        <f t="shared" si="5"/>
        <v>3.7331398942046764E-3</v>
      </c>
    </row>
    <row r="36" spans="1:10" x14ac:dyDescent="0.25">
      <c r="A36" s="36"/>
      <c r="B36" s="4">
        <f t="shared" si="4"/>
        <v>10.780536535813049</v>
      </c>
      <c r="C36" s="5">
        <f t="shared" si="6"/>
        <v>10269467.656538507</v>
      </c>
      <c r="D36" s="4">
        <f t="shared" si="7"/>
        <v>3.2182059117168114E-3</v>
      </c>
      <c r="E36" s="4">
        <f t="shared" si="8"/>
        <v>3.7162686344523084E-3</v>
      </c>
      <c r="F36">
        <f t="shared" si="9"/>
        <v>7.8256313857744866E-3</v>
      </c>
      <c r="G36" s="16">
        <f t="shared" si="5"/>
        <v>3.709362751322178E-3</v>
      </c>
    </row>
    <row r="37" spans="1:10" x14ac:dyDescent="0.25">
      <c r="A37" s="36"/>
      <c r="B37" s="4">
        <f t="shared" si="4"/>
        <v>11.308449407412139</v>
      </c>
      <c r="C37" s="5">
        <f t="shared" si="6"/>
        <v>11333630.880195871</v>
      </c>
      <c r="D37" s="4">
        <f t="shared" si="7"/>
        <v>3.3757984692493353E-3</v>
      </c>
      <c r="E37" s="4">
        <f t="shared" si="8"/>
        <v>3.7508595808910259E-3</v>
      </c>
      <c r="F37">
        <f t="shared" si="9"/>
        <v>7.8490148865326247E-3</v>
      </c>
      <c r="G37" s="16">
        <f t="shared" si="5"/>
        <v>3.6981553056415991E-3</v>
      </c>
    </row>
    <row r="38" spans="1:10" x14ac:dyDescent="0.25">
      <c r="A38" s="36"/>
      <c r="B38" s="4">
        <f t="shared" si="4"/>
        <v>11.780792503053434</v>
      </c>
      <c r="C38" s="5">
        <f t="shared" si="6"/>
        <v>12315052.356777055</v>
      </c>
      <c r="D38" s="4">
        <f t="shared" si="7"/>
        <v>3.5168023365152782E-3</v>
      </c>
      <c r="E38" s="4">
        <f t="shared" si="8"/>
        <v>3.7808521313635606E-3</v>
      </c>
      <c r="F38">
        <f t="shared" si="9"/>
        <v>7.8584963609969957E-3</v>
      </c>
      <c r="G38" s="16">
        <f t="shared" si="5"/>
        <v>3.6776442296334363E-3</v>
      </c>
    </row>
    <row r="39" spans="1:10" x14ac:dyDescent="0.25">
      <c r="A39" s="36"/>
      <c r="B39" s="4">
        <f t="shared" si="4"/>
        <v>12.308705374652526</v>
      </c>
      <c r="C39" s="5">
        <f t="shared" si="6"/>
        <v>13635073.358948657</v>
      </c>
      <c r="D39" s="4">
        <f t="shared" si="7"/>
        <v>3.674394894047802E-3</v>
      </c>
      <c r="E39" s="4">
        <f t="shared" si="8"/>
        <v>3.8133828596023074E-3</v>
      </c>
      <c r="F39">
        <f t="shared" si="9"/>
        <v>7.9704883885873042E-3</v>
      </c>
      <c r="G39" s="16">
        <f t="shared" si="5"/>
        <v>3.7571055289849975E-3</v>
      </c>
    </row>
    <row r="40" spans="1:10" x14ac:dyDescent="0.25">
      <c r="A40" s="36"/>
      <c r="B40" s="23">
        <f t="shared" si="4"/>
        <v>12.85051069024107</v>
      </c>
      <c r="C40" s="25">
        <f t="shared" si="6"/>
        <v>15030641.330397064</v>
      </c>
      <c r="D40" s="4">
        <f t="shared" si="7"/>
        <v>3.8361346241469725E-3</v>
      </c>
      <c r="E40" s="4">
        <f t="shared" si="8"/>
        <v>3.8457606677191145E-3</v>
      </c>
      <c r="F40" s="12">
        <f t="shared" si="9"/>
        <v>8.0610004318503094E-3</v>
      </c>
      <c r="G40" s="24">
        <f t="shared" si="5"/>
        <v>3.8152397641311956E-3</v>
      </c>
    </row>
    <row r="41" spans="1:10" x14ac:dyDescent="0.25">
      <c r="A41" s="38"/>
      <c r="B41" s="38"/>
      <c r="C41" s="38"/>
      <c r="D41" s="38"/>
      <c r="E41" s="38"/>
      <c r="F41" s="38"/>
      <c r="G41" s="38"/>
    </row>
    <row r="42" spans="1:10" x14ac:dyDescent="0.25">
      <c r="A42" s="36" t="s">
        <v>37</v>
      </c>
      <c r="B42" s="13" t="s">
        <v>38</v>
      </c>
      <c r="C42" s="13" t="s">
        <v>39</v>
      </c>
      <c r="D42" s="13" t="s">
        <v>40</v>
      </c>
      <c r="E42" s="13" t="s">
        <v>41</v>
      </c>
      <c r="F42" s="13" t="s">
        <v>42</v>
      </c>
      <c r="G42" s="15" t="s">
        <v>43</v>
      </c>
      <c r="H42" s="37" t="s">
        <v>60</v>
      </c>
      <c r="I42" s="37"/>
    </row>
    <row r="43" spans="1:10" x14ac:dyDescent="0.25">
      <c r="A43" s="36"/>
      <c r="B43">
        <v>1.335</v>
      </c>
      <c r="C43">
        <v>20.34</v>
      </c>
      <c r="D43" s="34">
        <v>7.3189999999999997E-6</v>
      </c>
      <c r="E43" s="34">
        <f>0.075/(LOG10(D43)-2)^2</f>
        <v>1.47301296283818E-3</v>
      </c>
      <c r="F43">
        <f>C43/(0.5*999*$I$47*B43^2)</f>
        <v>3.6598188502819855E-3</v>
      </c>
      <c r="G43" s="10">
        <f>B43/SQRT(9.81*$I$43)</f>
        <v>0.17435783494352169</v>
      </c>
      <c r="H43" s="7" t="s">
        <v>44</v>
      </c>
      <c r="I43" s="10">
        <v>5.976</v>
      </c>
      <c r="J43" s="8" t="s">
        <v>45</v>
      </c>
    </row>
    <row r="44" spans="1:10" x14ac:dyDescent="0.25">
      <c r="A44" s="36"/>
      <c r="B44">
        <v>1.401</v>
      </c>
      <c r="C44">
        <v>22.06</v>
      </c>
      <c r="D44" s="34">
        <v>7.6809999999999998E-6</v>
      </c>
      <c r="E44" s="34">
        <f t="shared" ref="E44:E48" si="10">(0.075)/(LOG10(D44)-2)^2</f>
        <v>1.4817074216828261E-3</v>
      </c>
      <c r="F44">
        <f t="shared" ref="F44:F48" si="11">C44/(0.5*999*$I$47*B44^2)</f>
        <v>3.60412968933051E-3</v>
      </c>
      <c r="G44" s="10">
        <f t="shared" ref="G44:G48" si="12">B44/SQRT(9.81*$I$43)</f>
        <v>0.18297777285084185</v>
      </c>
      <c r="H44" s="9" t="s">
        <v>46</v>
      </c>
      <c r="I44" s="10">
        <v>0.85899999999999999</v>
      </c>
      <c r="J44" s="11" t="s">
        <v>45</v>
      </c>
    </row>
    <row r="45" spans="1:10" x14ac:dyDescent="0.25">
      <c r="A45" s="36"/>
      <c r="B45">
        <v>1.4690000000000001</v>
      </c>
      <c r="C45">
        <v>24.14</v>
      </c>
      <c r="D45" s="34">
        <v>8.0539999999999995E-6</v>
      </c>
      <c r="E45" s="34">
        <f t="shared" si="10"/>
        <v>1.4903227069166874E-3</v>
      </c>
      <c r="F45">
        <f t="shared" si="11"/>
        <v>3.5872764519533063E-3</v>
      </c>
      <c r="G45" s="10">
        <f t="shared" si="12"/>
        <v>0.19185892099777782</v>
      </c>
      <c r="H45" s="9" t="s">
        <v>47</v>
      </c>
      <c r="I45" s="10">
        <v>0.24399999999999999</v>
      </c>
      <c r="J45" s="11" t="s">
        <v>45</v>
      </c>
    </row>
    <row r="46" spans="1:10" x14ac:dyDescent="0.25">
      <c r="A46" s="36"/>
      <c r="B46">
        <v>1.5349999999999999</v>
      </c>
      <c r="C46">
        <v>26.36</v>
      </c>
      <c r="D46" s="34">
        <v>8.4149999999999999E-6</v>
      </c>
      <c r="E46" s="34">
        <f t="shared" si="10"/>
        <v>1.4983560277246008E-3</v>
      </c>
      <c r="F46">
        <f t="shared" si="11"/>
        <v>3.5875653335768545E-3</v>
      </c>
      <c r="G46" s="10">
        <f t="shared" si="12"/>
        <v>0.20047885890509795</v>
      </c>
      <c r="H46" s="9" t="s">
        <v>48</v>
      </c>
      <c r="I46" s="10">
        <v>0.82699999999999996</v>
      </c>
      <c r="J46" s="11" t="s">
        <v>49</v>
      </c>
    </row>
    <row r="47" spans="1:10" x14ac:dyDescent="0.25">
      <c r="A47" s="36"/>
      <c r="B47">
        <v>1.6020000000000001</v>
      </c>
      <c r="C47">
        <v>28.99</v>
      </c>
      <c r="D47" s="34">
        <v>8.7830000000000004E-6</v>
      </c>
      <c r="E47" s="34">
        <f t="shared" si="10"/>
        <v>1.5062607497262649E-3</v>
      </c>
      <c r="F47">
        <f t="shared" si="11"/>
        <v>3.6223829779059714E-3</v>
      </c>
      <c r="G47" s="10">
        <f t="shared" si="12"/>
        <v>0.20922940193222603</v>
      </c>
      <c r="H47" s="9" t="s">
        <v>50</v>
      </c>
      <c r="I47" s="10">
        <v>6.2430000000000003</v>
      </c>
      <c r="J47" s="11" t="s">
        <v>51</v>
      </c>
    </row>
    <row r="48" spans="1:10" x14ac:dyDescent="0.25">
      <c r="A48" s="36"/>
      <c r="B48" s="12">
        <v>1.6679999999999999</v>
      </c>
      <c r="C48" s="12">
        <v>31.83</v>
      </c>
      <c r="D48" s="35">
        <v>9.1449999999999997E-6</v>
      </c>
      <c r="E48" s="34">
        <f t="shared" si="10"/>
        <v>1.5137773488388922E-3</v>
      </c>
      <c r="F48" s="12">
        <f t="shared" si="11"/>
        <v>3.6687297252247673E-3</v>
      </c>
      <c r="G48" s="20">
        <f t="shared" si="12"/>
        <v>0.21784933983954619</v>
      </c>
      <c r="H48" s="9" t="s">
        <v>52</v>
      </c>
      <c r="I48" s="10">
        <v>3.2440000000000002</v>
      </c>
      <c r="J48" s="11" t="s">
        <v>53</v>
      </c>
    </row>
    <row r="49" spans="1:10" x14ac:dyDescent="0.25">
      <c r="A49" s="38"/>
      <c r="B49" s="38"/>
      <c r="C49" s="38"/>
      <c r="D49" s="38"/>
      <c r="E49" s="38"/>
      <c r="F49" s="38"/>
      <c r="G49" s="39"/>
      <c r="H49" s="19" t="s">
        <v>15</v>
      </c>
      <c r="I49" s="12">
        <v>59.406999999999996</v>
      </c>
      <c r="J49" s="20"/>
    </row>
    <row r="50" spans="1:10" x14ac:dyDescent="0.25">
      <c r="A50" s="36" t="s">
        <v>54</v>
      </c>
      <c r="B50" s="13" t="s">
        <v>55</v>
      </c>
      <c r="C50" s="13" t="s">
        <v>56</v>
      </c>
      <c r="D50" s="13" t="s">
        <v>59</v>
      </c>
      <c r="E50" s="13" t="s">
        <v>61</v>
      </c>
      <c r="F50" s="13" t="s">
        <v>62</v>
      </c>
      <c r="G50" s="13" t="s">
        <v>63</v>
      </c>
      <c r="H50" s="6"/>
    </row>
    <row r="51" spans="1:10" x14ac:dyDescent="0.25">
      <c r="A51" s="36"/>
      <c r="B51">
        <f t="shared" ref="B51:B56" si="13">B43*SQRT($I$49)</f>
        <v>10.289637533703507</v>
      </c>
      <c r="C51" s="5">
        <f>F51*0.5*$E$4*$B$3*B51^2</f>
        <v>7053362.6248884043</v>
      </c>
      <c r="D51">
        <f>(B51*$B$1)/1.14*10^-6</f>
        <v>3.2042292319866186E-3</v>
      </c>
      <c r="E51">
        <f>0.075/((LOG(D51)-2)^2)</f>
        <v>3.713143236995307E-3</v>
      </c>
      <c r="F51">
        <f>E51+G51</f>
        <v>5.8999491244391125E-3</v>
      </c>
      <c r="G51" s="27">
        <f>F43-E43</f>
        <v>2.1868058874438055E-3</v>
      </c>
      <c r="H51" s="26"/>
    </row>
    <row r="52" spans="1:10" x14ac:dyDescent="0.25">
      <c r="A52" s="36"/>
      <c r="B52">
        <f t="shared" si="13"/>
        <v>10.798338715145029</v>
      </c>
      <c r="C52" s="5">
        <f t="shared" ref="C52:C56" si="14">F52*0.5*$E$4*$B$3*B52^2</f>
        <v>7729158.2247559624</v>
      </c>
      <c r="D52">
        <f t="shared" ref="D52:D56" si="15">(B52*$B$1)/1.14*10^-6</f>
        <v>3.3626405648039346E-3</v>
      </c>
      <c r="E52">
        <f t="shared" ref="E52:E56" si="16">0.075/((LOG(D52)-2)^2)</f>
        <v>3.7480158347628499E-3</v>
      </c>
      <c r="F52">
        <f t="shared" ref="F52:F56" si="17">E52+G52</f>
        <v>5.8704381024105336E-3</v>
      </c>
      <c r="G52" s="28">
        <f t="shared" ref="G52:G56" si="18">F44-E44</f>
        <v>2.1224222676476841E-3</v>
      </c>
      <c r="H52" s="26"/>
    </row>
    <row r="53" spans="1:10" x14ac:dyDescent="0.25">
      <c r="A53" s="36"/>
      <c r="B53">
        <f t="shared" si="13"/>
        <v>11.322455083902961</v>
      </c>
      <c r="C53" s="5">
        <f t="shared" si="14"/>
        <v>8511072.4933661614</v>
      </c>
      <c r="D53">
        <f t="shared" si="15"/>
        <v>3.525852241039957E-3</v>
      </c>
      <c r="E53">
        <f t="shared" si="16"/>
        <v>3.7827478301644172E-3</v>
      </c>
      <c r="F53">
        <f t="shared" si="17"/>
        <v>5.8797015752010354E-3</v>
      </c>
      <c r="G53" s="28">
        <f t="shared" si="18"/>
        <v>2.0969537450366187E-3</v>
      </c>
    </row>
    <row r="54" spans="1:10" x14ac:dyDescent="0.25">
      <c r="A54" s="36"/>
      <c r="B54">
        <f t="shared" si="13"/>
        <v>11.831156265344481</v>
      </c>
      <c r="C54" s="5">
        <f t="shared" si="14"/>
        <v>9332379.2292520236</v>
      </c>
      <c r="D54">
        <f t="shared" si="15"/>
        <v>3.6842635738572726E-3</v>
      </c>
      <c r="E54">
        <f t="shared" si="16"/>
        <v>3.8153869213304699E-3</v>
      </c>
      <c r="F54">
        <f t="shared" si="17"/>
        <v>5.9045962271827238E-3</v>
      </c>
      <c r="G54" s="28">
        <f t="shared" si="18"/>
        <v>2.089209305852254E-3</v>
      </c>
    </row>
    <row r="55" spans="1:10" x14ac:dyDescent="0.25">
      <c r="A55" s="36"/>
      <c r="B55">
        <f t="shared" si="13"/>
        <v>12.347565040444209</v>
      </c>
      <c r="C55" s="5">
        <f t="shared" si="14"/>
        <v>10266494.337071907</v>
      </c>
      <c r="D55">
        <f t="shared" si="15"/>
        <v>3.8450750783839429E-3</v>
      </c>
      <c r="E55">
        <f t="shared" si="16"/>
        <v>3.8475221016788129E-3</v>
      </c>
      <c r="F55">
        <f t="shared" si="17"/>
        <v>5.9636443298585196E-3</v>
      </c>
      <c r="G55" s="28">
        <f t="shared" si="18"/>
        <v>2.1161222281797067E-3</v>
      </c>
    </row>
    <row r="56" spans="1:10" x14ac:dyDescent="0.25">
      <c r="A56" s="36"/>
      <c r="B56" s="12">
        <f t="shared" si="13"/>
        <v>12.856266221885729</v>
      </c>
      <c r="C56" s="25">
        <f t="shared" si="14"/>
        <v>11259689.71324739</v>
      </c>
      <c r="D56" s="12">
        <f t="shared" si="15"/>
        <v>4.0034864112012576E-3</v>
      </c>
      <c r="E56" s="12">
        <f t="shared" si="16"/>
        <v>3.8782642053982919E-3</v>
      </c>
      <c r="F56">
        <f t="shared" si="17"/>
        <v>6.0332165817841669E-3</v>
      </c>
      <c r="G56" s="20">
        <f t="shared" si="18"/>
        <v>2.1549523763858751E-3</v>
      </c>
    </row>
  </sheetData>
  <mergeCells count="8">
    <mergeCell ref="A8:A23"/>
    <mergeCell ref="A25:A40"/>
    <mergeCell ref="H42:I42"/>
    <mergeCell ref="A42:A48"/>
    <mergeCell ref="A50:A56"/>
    <mergeCell ref="A24:G24"/>
    <mergeCell ref="A41:G41"/>
    <mergeCell ref="A49:G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Martin Spissøy</dc:creator>
  <cp:keywords/>
  <dc:description/>
  <cp:lastModifiedBy>Even Rindheim</cp:lastModifiedBy>
  <cp:revision/>
  <dcterms:created xsi:type="dcterms:W3CDTF">2019-04-10T06:39:51Z</dcterms:created>
  <dcterms:modified xsi:type="dcterms:W3CDTF">2020-05-24T20:36:03Z</dcterms:modified>
  <cp:category/>
  <cp:contentStatus/>
</cp:coreProperties>
</file>