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fc32364f26bd67e5/Documents/Bacheloroppgave/Resultater/"/>
    </mc:Choice>
  </mc:AlternateContent>
  <xr:revisionPtr revIDLastSave="0" documentId="8_{84FAC21A-A782-4F24-BE37-2198BA278368}" xr6:coauthVersionLast="45" xr6:coauthVersionMax="45" xr10:uidLastSave="{00000000-0000-0000-0000-000000000000}"/>
  <bookViews>
    <workbookView minimized="1" xWindow="5480" yWindow="3670" windowWidth="14400" windowHeight="7810" xr2:uid="{00000000-000D-0000-FFFF-FFFF00000000}"/>
  </bookViews>
  <sheets>
    <sheet name="Sammendrag" sheetId="1" r:id="rId1"/>
    <sheet name="Planering" sheetId="2" r:id="rId2"/>
    <sheet name="Diverse_mengder" sheetId="4" r:id="rId3"/>
    <sheet name="Inngår_i_planering" sheetId="5" r:id="rId4"/>
    <sheet name="Overbygning" sheetId="6" r:id="rId5"/>
    <sheet name="Areal" sheetId="7" r:id="rId6"/>
    <sheet name="Lengde" sheetId="8" r:id="rId7"/>
    <sheet name="Flåsprengning" sheetId="9" r:id="rId8"/>
  </sheets>
  <definedNames>
    <definedName name="Areas_RB_Fill">OFFSET(Areal!$K$14,0,0,MATCH(9.99999999999999E+307,Areal!$K$14:$K$20002),1)</definedName>
    <definedName name="Areas_RB_RockCut">OFFSET(Areal!$J$14,0,0,MATCH(9.99999999999999E+307,Areal!$J$14:$J$20002),1)</definedName>
    <definedName name="Areas_RB_SoilCut">OFFSET(Areal!$I$14,0,0,MATCH(9.99999999999999E+307,Areal!$I$14:$I$20002),1)</definedName>
    <definedName name="Areas_Rock_trimming">OFFSET(Areal!$L$14,0,0,MATCH(9.99999999999999E+307,Areal!$L$14:$L$20002),1)</definedName>
    <definedName name="Areas_SG0">OFFSET(Areal!$B$14,0,0,MATCH(9.99999999999999E+307,Areal!$B$14:$B$20002),1)</definedName>
    <definedName name="Areas_SG1">OFFSET(Areal!$C$14,0,0,MATCH(9.99999999999999E+307,Areal!$C$14:$C$20002),1)</definedName>
    <definedName name="Areas_SG2">OFFSET(Areal!$D$14,0,0,MATCH(9.99999999999999E+307,Areal!$D$14:$D$20002),1)</definedName>
    <definedName name="Areas_SG3">OFFSET(Areal!$E$14,0,0,MATCH(9.99999999999999E+307,Areal!$E$14:$E$20002),1)</definedName>
    <definedName name="Areas_SG4">OFFSET(Areal!$F$14,0,0,MATCH(9.99999999999999E+307,Areal!$F$14:$F$20002),1)</definedName>
    <definedName name="Areas_SG5">OFFSET(Areal!$G$14,0,0,MATCH(9.99999999999999E+307,Areal!$G$14:$G$20002),1)</definedName>
    <definedName name="Areas_SG6">OFFSET(Areal!$H$14,0,0,MATCH(9.99999999999999E+307,Areal!$H$14:$H$20002),1)</definedName>
    <definedName name="IncLev_CD_Fill">OFFSET(Inngår_i_planering!$D$14,0,0,MATCH(9.99999999999999E+307,Inngår_i_planering!$D$14:$D$20002),1)</definedName>
    <definedName name="IncLev_CD_RockCut">OFFSET(Inngår_i_planering!$C$14,0,0,MATCH(9.99999999999999E+307,Inngår_i_planering!$C$14:$C$20002),1)</definedName>
    <definedName name="IncLev_CD_SoilCut">OFFSET(Inngår_i_planering!$B$14,0,0,MATCH(9.99999999999999E+307,Inngår_i_planering!$B$14:$B$20002),1)</definedName>
    <definedName name="IncLev_Extra_Fill">OFFSET(Inngår_i_planering!$G$14,0,0,MATCH(9.99999999999999E+307,Inngår_i_planering!$G$14:$G$20002),1)</definedName>
    <definedName name="IncLev_Extra_RockCut">OFFSET(Inngår_i_planering!$F$14,0,0,MATCH(9.99999999999999E+307,Inngår_i_planering!$F$14:$F$20002),1)</definedName>
    <definedName name="IncLev_Extra_SoilCut">OFFSET(Inngår_i_planering!$E$14,0,0,MATCH(9.99999999999999E+307,Inngår_i_planering!$E$14:$E$20002),1)</definedName>
    <definedName name="Lengths_CD_Fill" localSheetId="7">OFFSET(Flåsprengning!$D$14,0,0,MATCH(9.99999999999999E+307,Flåsprengning!$D$14:$D$20002),1)</definedName>
    <definedName name="Lengths_CD_Fill">OFFSET(Lengde!$F$14,0,0,MATCH(9.99999999999999E+307,Lengde!$F$14:$F$20002),1)</definedName>
    <definedName name="Lengths_CD_Rock" localSheetId="7">OFFSET(Flåsprengning!#REF!,0,0,MATCH(9.99999999999999E+307,Flåsprengning!#REF!),1)</definedName>
    <definedName name="Lengths_CD_Rock">OFFSET(Lengde!$E$14,0,0,MATCH(9.99999999999999E+307,Lengde!$E$14:$E$20002),1)</definedName>
    <definedName name="Lengths_CD_Soil" localSheetId="7">OFFSET(Flåsprengning!#REF!,0,0,MATCH(9.99999999999999E+307,Flåsprengning!#REF!),1)</definedName>
    <definedName name="Lengths_CD_Soil">OFFSET(Lengde!$D$14,0,0,MATCH(9.99999999999999E+307,Lengde!$D$14:$D$20002),1)</definedName>
    <definedName name="Lengths_GuardRail" localSheetId="7">OFFSET(Flåsprengning!$E$14,0,0,MATCH(9.99999999999999E+307,Flåsprengning!$E$14:$E$20002),1)</definedName>
    <definedName name="Lengths_GuardRail">OFFSET(Lengde!$G$14,0,0,MATCH(9.99999999999999E+307,Lengde!$G$14:$G$20002),1)</definedName>
    <definedName name="Lengths_SD_Rock" localSheetId="7">OFFSET(Flåsprengning!$C$14,0,0,MATCH(9.99999999999999E+307,Flåsprengning!$C$14:$C$20002),1)</definedName>
    <definedName name="Lengths_SD_Rock">OFFSET(Lengde!$C$14,0,0,MATCH(9.99999999999999E+307,Lengde!$C$14:$C$20002),1)</definedName>
    <definedName name="Lengths_SD_Soil" localSheetId="7">OFFSET(Flåsprengning!$B$14,0,0,MATCH(9.99999999999999E+307,Flåsprengning!$B$14:$B$20002),1)</definedName>
    <definedName name="Lengths_SD_Soil">OFFSET(Lengde!$B$14,0,0,MATCH(9.99999999999999E+307,Lengde!$B$14:$B$20002),1)</definedName>
    <definedName name="Lev_Chainage">OFFSET(Planering!$A$14,0,0,COUNTA(Planering!$A2:$A$65000),1)</definedName>
    <definedName name="Lev_DeepBlasting">OFFSET(Planering!$D$14,0,0,MATCH(9.99999999999999E+307,Planering!$D$14:$D$20002),1)</definedName>
    <definedName name="Lev_Fill">OFFSET(Planering!$E$14,0,0,MATCH(9.99999999999999E+307,Planering!$E$14:$E$20002),1)</definedName>
    <definedName name="Lev_P_DeepBlasting">OFFSET(Planering!$H$14,0,0,MATCH(9.99999999999999E+307,Planering!$H$14:$H$20002),1)</definedName>
    <definedName name="Lev_P_Fill">OFFSET(Planering!$I$14,0,0,MATCH(9.99999999999999E+307,Planering!$I$14:$I$20002),1)</definedName>
    <definedName name="Lev_P_RockCut">OFFSET(Planering!$G$14,0,0,MATCH(9.99999999999999E+307,Planering!$G$14:$G$20002),1)</definedName>
    <definedName name="Lev_P_SoilCut">OFFSET(Planering!$F$14,0,0,MATCH(9.99999999999999E+307,Planering!$F$14:$F$20002),1)</definedName>
    <definedName name="Lev_RockCut">OFFSET(Planering!$C$14,0,0,MATCH(9.99999999999999E+307,Planering!$C$14:$C$20002),1)</definedName>
    <definedName name="Lev_SoilCut">OFFSET(Planering!$B$14,0,0,MATCH(9.99999999999999E+307,Planering!$B$14:$B$20002),1)</definedName>
    <definedName name="Mass_Profile">OFFSET(Planering!$K$14,0,0,MATCH(9.99999999999999E+307,Planering!$K$14:$K$20002),1)</definedName>
    <definedName name="Mass_Profile_Acc">OFFSET(Planering!$L$14,0,0,MATCH(9.99999999999999E+307,Planering!$L$14:$L$20002),1)</definedName>
    <definedName name="Other_Landsc_Cut">OFFSET(Diverse_mengder!$F$14,0,0,MATCH(9.99999999999999E+307,Diverse_mengder!$F$14:$F$20002),1)</definedName>
    <definedName name="Other_Landsc_Fill">OFFSET(Diverse_mengder!$G$14,0,0,MATCH(9.99999999999999E+307,Diverse_mengder!$G$14:$G$20002),1)</definedName>
    <definedName name="Other_Removal_FillBack">OFFSET(Diverse_mengder!#REF!,0,0,MATCH(9.99999999999999E+307,Diverse_mengder!#REF!),1)</definedName>
    <definedName name="Other_Rounding_Cut">OFFSET(Diverse_mengder!$I$14,0,0,MATCH(9.99999999999999E+307,Diverse_mengder!$I$14:$I$20002),1)</definedName>
    <definedName name="Other_Rounding_Fill">OFFSET(Diverse_mengder!$J$14,0,0,MATCH(9.99999999999999E+307,Diverse_mengder!$J$14:$J$20002),1)</definedName>
    <definedName name="Other_SideEdge_Fill">OFFSET(Diverse_mengder!$H$14,0,0,MATCH(9.99999999999999E+307,Diverse_mengder!$H$14:$H$20002),1)</definedName>
    <definedName name="Other_Sodding">OFFSET(Diverse_mengder!$E$14,0,0,MATCH(9.99999999999999E+307,Diverse_mengder!$E$14:$E$20002),1)</definedName>
    <definedName name="Other_SoftSpot">OFFSET(Diverse_mengder!$B$14,0,0,MATCH(9.99999999999999E+307,Diverse_mengder!$B$14:$B$20002),1)</definedName>
    <definedName name="Other_TopSoil">OFFSET(Diverse_mengder!$C$14,0,0,MATCH(9.99999999999999E+307,Diverse_mengder!$C$14:$C$20002),1)</definedName>
    <definedName name="Other_Vegetation">OFFSET(Diverse_mengder!$D$14,0,0,MATCH(9.99999999999999E+307,Diverse_mengder!$D$14:$D$20002),1)</definedName>
    <definedName name="ST_Base1_Area">OFFSET(Overbygning!$I$14,0,0,MATCH(9.99999999999999E+307,Overbygning!$I$14:$I$20002),1)</definedName>
    <definedName name="ST_Base1_Vol">OFFSET(Overbygning!$H$14,0,0,MATCH(9.99999999999999E+307,Overbygning!$H$14:$H$20002),1)</definedName>
    <definedName name="ST_Base2_Area">OFFSET(Overbygning!$K$14,0,0,MATCH(9.99999999999999E+307,Overbygning!$K$14:$K$20002),1)</definedName>
    <definedName name="ST_Base2_Vol">OFFSET(Overbygning!$J$14,0,0,MATCH(9.99999999999999E+307,Overbygning!$J$14:$J$20002),1)</definedName>
    <definedName name="ST_Base3_Area">OFFSET(Overbygning!$M$14,0,0,MATCH(9.99999999999999E+307,Overbygning!$M$14:$M$20002),1)</definedName>
    <definedName name="ST_Base3_Vol">OFFSET(Overbygning!$L$14,0,0,MATCH(9.99999999999999E+307,Overbygning!$L$14:$L$20002),1)</definedName>
    <definedName name="ST_Binder1_Area">OFFSET(Overbygning!$E$14,0,0,MATCH(9.99999999999999E+307,Overbygning!$E$14:$E$20002),1)</definedName>
    <definedName name="ST_Binder1_Vol">OFFSET(Overbygning!$D$14,0,0,MATCH(9.99999999999999E+307,Overbygning!$D$14:$D$20002),1)</definedName>
    <definedName name="ST_Binder2_Area">OFFSET(Overbygning!$G$14,0,0,MATCH(9.99999999999999E+307,Overbygning!$G$14:$G$20002),1)</definedName>
    <definedName name="ST_Binder2_Vol">OFFSET(Overbygning!$F$14,0,0,MATCH(9.99999999999999E+307,Overbygning!$F$14:$F$20002),1)</definedName>
    <definedName name="ST_Filter_Area">OFFSET(Overbygning!$U$14,0,0,MATCH(9.99999999999999E+307,Overbygning!$U$14:$U$20002),1)</definedName>
    <definedName name="ST_Filter_Vol">OFFSET(Overbygning!$T$14,0,0,MATCH(9.99999999999999E+307,Overbygning!$T$14:$T$20002),1)</definedName>
    <definedName name="ST_Subbase1_Area">OFFSET(Overbygning!$O$14,0,0,MATCH(9.99999999999999E+307,Overbygning!$O$14:$O$20002),1)</definedName>
    <definedName name="ST_Subbase1_Vol">OFFSET(Overbygning!$N$14,0,0,MATCH(9.99999999999999E+307,Overbygning!$N$14:$N$20002),1)</definedName>
    <definedName name="ST_Subbase2_Area">OFFSET(Overbygning!$Q$14,0,0,MATCH(9.99999999999999E+307,Overbygning!$Q$14:$Q$20002),1)</definedName>
    <definedName name="ST_Subbase2_Vol">OFFSET(Overbygning!$P$14,0,0,MATCH(9.99999999999999E+307,Overbygning!$P$14:$P$20002),1)</definedName>
    <definedName name="ST_Subbase3_Area">OFFSET(Overbygning!$S$14,0,0,MATCH(9.99999999999999E+307,Overbygning!$S$14:$S$20002),1)</definedName>
    <definedName name="ST_Subbase3_Vol">OFFSET(Overbygning!$R$14,0,0,MATCH(9.99999999999999E+307,Overbygning!$R$14:$R$20002),1)</definedName>
    <definedName name="ST_Surface_Area">OFFSET(Overbygning!$C$14,0,0,MATCH(9.99999999999999E+307,Overbygning!$C$14:$C$20002),1)</definedName>
    <definedName name="ST_Surface_Vol">OFFSET(Overbygning!$B$14,0,0,MATCH(9.99999999999999E+307,Overbygning!$B$14:$B$20002),1)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7" l="1"/>
  <c r="D14" i="9"/>
  <c r="I7" i="7"/>
  <c r="I6" i="7"/>
  <c r="I5" i="7"/>
  <c r="B5" i="9"/>
  <c r="B5" i="8"/>
  <c r="B5" i="7"/>
  <c r="B5" i="6"/>
  <c r="B5" i="5"/>
  <c r="B5" i="4"/>
  <c r="B5" i="2"/>
  <c r="F6" i="9"/>
  <c r="F5" i="9"/>
  <c r="F6" i="8"/>
  <c r="F5" i="8"/>
  <c r="G6" i="7"/>
  <c r="G5" i="7"/>
  <c r="F6" i="6"/>
  <c r="F5" i="6"/>
  <c r="F6" i="5"/>
  <c r="F5" i="5"/>
  <c r="F6" i="4"/>
  <c r="F5" i="4"/>
  <c r="F6" i="2"/>
  <c r="F5" i="2"/>
  <c r="F7" i="9"/>
  <c r="F7" i="8"/>
  <c r="G7" i="7"/>
  <c r="F7" i="6"/>
  <c r="F7" i="5"/>
  <c r="F7" i="2"/>
  <c r="F7" i="4"/>
  <c r="H7" i="9"/>
  <c r="H6" i="9"/>
  <c r="H5" i="9"/>
  <c r="B4" i="9"/>
  <c r="H7" i="8"/>
  <c r="H6" i="8"/>
  <c r="H5" i="8"/>
  <c r="B4" i="8"/>
  <c r="B4" i="7"/>
  <c r="H7" i="6"/>
  <c r="H6" i="6"/>
  <c r="H5" i="6"/>
  <c r="B4" i="6"/>
  <c r="H7" i="5"/>
  <c r="H6" i="5"/>
  <c r="H5" i="5"/>
  <c r="B4" i="5"/>
  <c r="H7" i="4"/>
  <c r="H6" i="4"/>
  <c r="H5" i="4"/>
  <c r="B4" i="4"/>
  <c r="H7" i="2"/>
  <c r="H6" i="2"/>
  <c r="H5" i="2"/>
  <c r="B4" i="2"/>
  <c r="I14" i="2"/>
  <c r="H14" i="2"/>
  <c r="F14" i="2"/>
  <c r="G14" i="2"/>
  <c r="K14" i="2"/>
  <c r="L14" i="2"/>
  <c r="C15" i="1"/>
  <c r="G53" i="1"/>
  <c r="B13" i="7"/>
  <c r="G59" i="1"/>
  <c r="H13" i="7"/>
  <c r="F32" i="2"/>
  <c r="G32" i="2"/>
  <c r="H32" i="2"/>
  <c r="I32" i="2"/>
  <c r="K32" i="2"/>
  <c r="F15" i="2"/>
  <c r="G15" i="2"/>
  <c r="H15" i="2"/>
  <c r="I15" i="2"/>
  <c r="K15" i="2"/>
  <c r="F16" i="2"/>
  <c r="G16" i="2"/>
  <c r="H16" i="2"/>
  <c r="I16" i="2"/>
  <c r="K16" i="2"/>
  <c r="F17" i="2"/>
  <c r="G17" i="2"/>
  <c r="H17" i="2"/>
  <c r="I17" i="2"/>
  <c r="K17" i="2"/>
  <c r="F18" i="2"/>
  <c r="G18" i="2"/>
  <c r="H18" i="2"/>
  <c r="I18" i="2"/>
  <c r="K18" i="2"/>
  <c r="F19" i="2"/>
  <c r="G19" i="2"/>
  <c r="H19" i="2"/>
  <c r="I19" i="2"/>
  <c r="K19" i="2"/>
  <c r="F20" i="2"/>
  <c r="G20" i="2"/>
  <c r="H20" i="2"/>
  <c r="I20" i="2"/>
  <c r="K20" i="2"/>
  <c r="F21" i="2"/>
  <c r="G21" i="2"/>
  <c r="H21" i="2"/>
  <c r="I21" i="2"/>
  <c r="K21" i="2"/>
  <c r="F22" i="2"/>
  <c r="G22" i="2"/>
  <c r="H22" i="2"/>
  <c r="I22" i="2"/>
  <c r="K22" i="2"/>
  <c r="F23" i="2"/>
  <c r="G23" i="2"/>
  <c r="H23" i="2"/>
  <c r="I23" i="2"/>
  <c r="K23" i="2"/>
  <c r="F24" i="2"/>
  <c r="G24" i="2"/>
  <c r="H24" i="2"/>
  <c r="I24" i="2"/>
  <c r="K24" i="2"/>
  <c r="F25" i="2"/>
  <c r="G25" i="2"/>
  <c r="H25" i="2"/>
  <c r="I25" i="2"/>
  <c r="K25" i="2"/>
  <c r="F26" i="2"/>
  <c r="G26" i="2"/>
  <c r="H26" i="2"/>
  <c r="I26" i="2"/>
  <c r="K26" i="2"/>
  <c r="F27" i="2"/>
  <c r="G27" i="2"/>
  <c r="H27" i="2"/>
  <c r="I27" i="2"/>
  <c r="K27" i="2"/>
  <c r="F28" i="2"/>
  <c r="G28" i="2"/>
  <c r="H28" i="2"/>
  <c r="I28" i="2"/>
  <c r="K28" i="2"/>
  <c r="F29" i="2"/>
  <c r="G29" i="2"/>
  <c r="H29" i="2"/>
  <c r="I29" i="2"/>
  <c r="K29" i="2"/>
  <c r="F30" i="2"/>
  <c r="G30" i="2"/>
  <c r="H30" i="2"/>
  <c r="I30" i="2"/>
  <c r="K30" i="2"/>
  <c r="F31" i="2"/>
  <c r="G31" i="2"/>
  <c r="H31" i="2"/>
  <c r="I31" i="2"/>
  <c r="K31" i="2"/>
  <c r="K13" i="2"/>
  <c r="J13" i="4"/>
  <c r="C24" i="1"/>
  <c r="D13" i="4"/>
  <c r="C22" i="1"/>
  <c r="B13" i="4"/>
  <c r="D13" i="2"/>
  <c r="C17" i="1"/>
  <c r="E17" i="1"/>
  <c r="D17" i="1"/>
  <c r="H13" i="2"/>
  <c r="C30" i="1"/>
  <c r="C13" i="4"/>
  <c r="C23" i="1"/>
  <c r="G62" i="1"/>
  <c r="K13" i="7"/>
  <c r="B13" i="6"/>
  <c r="C40" i="1"/>
  <c r="C43" i="1"/>
  <c r="H13" i="6"/>
  <c r="C26" i="1"/>
  <c r="F13" i="4"/>
  <c r="C18" i="1"/>
  <c r="E13" i="2"/>
  <c r="M13" i="6"/>
  <c r="G45" i="1"/>
  <c r="B13" i="9"/>
  <c r="G72" i="1"/>
  <c r="G41" i="1"/>
  <c r="E13" i="6"/>
  <c r="L13" i="6"/>
  <c r="C45" i="1"/>
  <c r="C27" i="1"/>
  <c r="G13" i="4"/>
  <c r="F13" i="2"/>
  <c r="E15" i="1"/>
  <c r="D15" i="1"/>
  <c r="J13" i="7"/>
  <c r="G61" i="1"/>
  <c r="I13" i="2"/>
  <c r="E18" i="1"/>
  <c r="D18" i="1"/>
  <c r="C13" i="6"/>
  <c r="G40" i="1"/>
  <c r="G43" i="1"/>
  <c r="I13" i="6"/>
  <c r="C35" i="1"/>
  <c r="C13" i="5"/>
  <c r="C44" i="1"/>
  <c r="J13" i="6"/>
  <c r="B13" i="8"/>
  <c r="G67" i="1"/>
  <c r="C42" i="1"/>
  <c r="F13" i="6"/>
  <c r="C29" i="1"/>
  <c r="I13" i="4"/>
  <c r="G13" i="2"/>
  <c r="E16" i="1"/>
  <c r="C16" i="1"/>
  <c r="D16" i="1"/>
  <c r="C49" i="1"/>
  <c r="T13" i="6"/>
  <c r="C46" i="1"/>
  <c r="N13" i="6"/>
  <c r="B13" i="5"/>
  <c r="C34" i="1"/>
  <c r="G44" i="1"/>
  <c r="K13" i="6"/>
  <c r="C48" i="1"/>
  <c r="R13" i="6"/>
  <c r="G73" i="1"/>
  <c r="C13" i="9"/>
  <c r="G57" i="1"/>
  <c r="F13" i="7"/>
  <c r="C28" i="1"/>
  <c r="H13" i="4"/>
  <c r="I13" i="7"/>
  <c r="G60" i="1"/>
  <c r="G58" i="1"/>
  <c r="G13" i="7"/>
  <c r="G54" i="1"/>
  <c r="C13" i="7"/>
  <c r="E13" i="7"/>
  <c r="G56" i="1"/>
  <c r="U13" i="6"/>
  <c r="G49" i="1"/>
  <c r="G46" i="1"/>
  <c r="O13" i="6"/>
  <c r="C36" i="1"/>
  <c r="D13" i="5"/>
  <c r="P13" i="6"/>
  <c r="C47" i="1"/>
  <c r="C25" i="1"/>
  <c r="E13" i="4"/>
  <c r="C13" i="2"/>
  <c r="G68" i="1"/>
  <c r="C13" i="8"/>
  <c r="G13" i="6"/>
  <c r="G42" i="1"/>
  <c r="B13" i="2"/>
  <c r="D32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3" i="7"/>
  <c r="G55" i="1"/>
  <c r="D13" i="6"/>
  <c r="C41" i="1"/>
  <c r="L13" i="7"/>
  <c r="G63" i="1"/>
  <c r="G47" i="1"/>
  <c r="Q13" i="6"/>
  <c r="G48" i="1"/>
  <c r="S13" i="6"/>
  <c r="D32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G74" i="1"/>
  <c r="D13" i="9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</calcChain>
</file>

<file path=xl/sharedStrings.xml><?xml version="1.0" encoding="utf-8"?>
<sst xmlns="http://schemas.openxmlformats.org/spreadsheetml/2006/main" count="178" uniqueCount="110">
  <si>
    <t>m3</t>
  </si>
  <si>
    <t>m2</t>
  </si>
  <si>
    <t>m</t>
  </si>
  <si>
    <t>Rock cut factor</t>
  </si>
  <si>
    <t>Deep blasting factor</t>
  </si>
  <si>
    <t>Fill factor</t>
  </si>
  <si>
    <t>Mengder sammensatt</t>
  </si>
  <si>
    <t>Sammendrag</t>
  </si>
  <si>
    <t>Modell:</t>
  </si>
  <si>
    <t>Start profil:</t>
  </si>
  <si>
    <t>Slutt profil:</t>
  </si>
  <si>
    <t>Dato sist endret:</t>
  </si>
  <si>
    <t>Utskiftingsmasser</t>
  </si>
  <si>
    <t>Matjord</t>
  </si>
  <si>
    <t>Matjord
(m3)</t>
  </si>
  <si>
    <t>Vegetasjon
(m3)</t>
  </si>
  <si>
    <t>Vegetasjon</t>
  </si>
  <si>
    <t>Utlagte masser</t>
  </si>
  <si>
    <t>Utlagte masser
(m3)</t>
  </si>
  <si>
    <t>Bakkeplanering, skjæring</t>
  </si>
  <si>
    <t>Bakkeplanering,
skjæring
(m3)</t>
  </si>
  <si>
    <t>Bakkeplanering,
fylling
(m3)</t>
  </si>
  <si>
    <t>Justerings-
masser
(m3)</t>
  </si>
  <si>
    <t>Avrunding,
skjæring
(m3)</t>
  </si>
  <si>
    <t>Avrunding,
fylling
(m3)</t>
  </si>
  <si>
    <t>Profil</t>
  </si>
  <si>
    <t>Total</t>
  </si>
  <si>
    <t>Diverse mengder</t>
  </si>
  <si>
    <t>Bakkeplanering, fylling</t>
  </si>
  <si>
    <t>Justeringsmasser</t>
  </si>
  <si>
    <t>Avrunding, skjæring</t>
  </si>
  <si>
    <t>Avrunding, fylling</t>
  </si>
  <si>
    <t>Planering</t>
  </si>
  <si>
    <t>Jord</t>
  </si>
  <si>
    <t>Fjell</t>
  </si>
  <si>
    <t>Dypsprenging</t>
  </si>
  <si>
    <t>Fylling</t>
  </si>
  <si>
    <t>Inngår i planering</t>
  </si>
  <si>
    <t>Lukket grøft, jordskjæring</t>
  </si>
  <si>
    <t>Lukket grøft, fjellskjæring</t>
  </si>
  <si>
    <t>Lukket grøft, fylling</t>
  </si>
  <si>
    <t>Overbygning</t>
  </si>
  <si>
    <t>Slitelag</t>
  </si>
  <si>
    <t>Bindlag 1</t>
  </si>
  <si>
    <t>Bindlag 2</t>
  </si>
  <si>
    <t>Bærelag 1</t>
  </si>
  <si>
    <t>Bærelag 2</t>
  </si>
  <si>
    <t>Bærelag 3</t>
  </si>
  <si>
    <t>Forsterkningslag 1</t>
  </si>
  <si>
    <t>Forsterkningslag 2</t>
  </si>
  <si>
    <t>Forsterkningslag 3</t>
  </si>
  <si>
    <t>Filter- / Frostsikringslag</t>
  </si>
  <si>
    <t>Areal</t>
  </si>
  <si>
    <t>Planum, jordskjæring</t>
  </si>
  <si>
    <t>Planum, fjellskjæring</t>
  </si>
  <si>
    <t>Planum, fylling</t>
  </si>
  <si>
    <t>Flåsprengning</t>
  </si>
  <si>
    <t>Lengde</t>
  </si>
  <si>
    <t>Åpen grøft, jord</t>
  </si>
  <si>
    <t>Åpen grøft, fjell</t>
  </si>
  <si>
    <t>Mengde</t>
  </si>
  <si>
    <t>Prosjekterte
masser</t>
  </si>
  <si>
    <t>Masseomreg-ningsfaktorer</t>
  </si>
  <si>
    <t>Utførte anbrakte masser</t>
  </si>
  <si>
    <t>Areal og lengde</t>
  </si>
  <si>
    <t>Flå-sprengning</t>
  </si>
  <si>
    <t>Flå-sprengning
(m2)</t>
  </si>
  <si>
    <t>Teoretisk Fjell
(m3)</t>
  </si>
  <si>
    <t>Teoretisk Fjell</t>
  </si>
  <si>
    <t>Fjell inkl. flå-sprengning</t>
  </si>
  <si>
    <t>Fjell inkl. flå-sprengning
(m3)</t>
  </si>
  <si>
    <t>Jord
(m3)</t>
  </si>
  <si>
    <t>Fjell
(m3)</t>
  </si>
  <si>
    <t>Dypsprenging
(m3)</t>
  </si>
  <si>
    <t>Fylling
(m3)</t>
  </si>
  <si>
    <t>Anbragt jord
(m3)</t>
  </si>
  <si>
    <t>Anbragt fjell
(m3)</t>
  </si>
  <si>
    <t>Anbragt
dypsprenging
(m3)</t>
  </si>
  <si>
    <t>Anbragt
fylling
(m3)</t>
  </si>
  <si>
    <t>Masseprofil
(m3)</t>
  </si>
  <si>
    <t>Masseprofil,
akkumulert
(m3)</t>
  </si>
  <si>
    <t>Lukket grøft, jordskjæring
(m3)</t>
  </si>
  <si>
    <t>Lukket grøft, fjellskjæring
(m3)</t>
  </si>
  <si>
    <t>Lukket grøft, fylling
(m3)</t>
  </si>
  <si>
    <t>Volum (m3)</t>
  </si>
  <si>
    <t>Areal (m2)</t>
  </si>
  <si>
    <t>Planum, jordskjæring
(m2)</t>
  </si>
  <si>
    <t>Planum, fjellskjæring
(m2)</t>
  </si>
  <si>
    <t>Planum, fylling
(m2)</t>
  </si>
  <si>
    <t>Flåsprengning
(m2)</t>
  </si>
  <si>
    <t>Åpen grøft, jord
(m)</t>
  </si>
  <si>
    <t>Åpen grøft, fjell
(m)</t>
  </si>
  <si>
    <t>Utskiftings-
masser
(m3)
(m3)</t>
  </si>
  <si>
    <t>Kjørefelt
(m2)</t>
  </si>
  <si>
    <t>Vegskulder
(m2)</t>
  </si>
  <si>
    <t>Kjørefelt</t>
  </si>
  <si>
    <t>Vegskulder</t>
  </si>
  <si>
    <t>Soil cut factor</t>
  </si>
  <si>
    <t>Grøfteflate</t>
  </si>
  <si>
    <t>Fjellskjæring</t>
  </si>
  <si>
    <t>Jordskjæring</t>
  </si>
  <si>
    <t>Fyllingsflate</t>
  </si>
  <si>
    <t>Byggegropsideflate</t>
  </si>
  <si>
    <t>Grøfteflate
(m2)</t>
  </si>
  <si>
    <t>Fjellskjæring
(m2)</t>
  </si>
  <si>
    <t>Jordskjæring
(m2)</t>
  </si>
  <si>
    <t>Fyllingsflate
(m2)</t>
  </si>
  <si>
    <t>Byggegropsideflate
(m2)</t>
  </si>
  <si>
    <t>Veg 2</t>
  </si>
  <si>
    <t>5/8/2020 1:05:25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</si>
</sst>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+&quot;000.000"/>
    <numFmt numFmtId="165" formatCode="0.000"/>
    <numFmt numFmtId="166" formatCode="0.000000"/>
  </numFmts>
  <fonts count="25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b/>
      <sz val="9"/>
      <color rgb="FFFF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20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i/>
      <sz val="9"/>
      <color rgb="FF000000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E1C8"/>
        <bgColor rgb="FFF3E1C8"/>
      </patternFill>
    </fill>
    <fill>
      <patternFill patternType="solid">
        <fgColor indexed="9"/>
        <bgColor indexed="64"/>
      </patternFill>
    </fill>
    <fill>
      <patternFill patternType="solid">
        <fgColor rgb="FFF3E1C8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Alignment="0"/>
  </cellStyleXfs>
  <cellXfs count="160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166" fontId="1" fillId="2" borderId="0" xfId="0" applyNumberFormat="1" applyFont="1" applyFill="1"/>
    <xf numFmtId="0" fontId="1" fillId="3" borderId="0" xfId="0" applyFont="1" applyFill="1"/>
    <xf numFmtId="0" fontId="3" fillId="4" borderId="0" xfId="0" applyFont="1" applyFill="1"/>
    <xf numFmtId="0" fontId="1" fillId="4" borderId="0" xfId="0" applyFont="1" applyFill="1"/>
    <xf numFmtId="165" fontId="1" fillId="4" borderId="0" xfId="0" applyNumberFormat="1" applyFont="1" applyFill="1"/>
    <xf numFmtId="166" fontId="1" fillId="4" borderId="0" xfId="0" applyNumberFormat="1" applyFont="1" applyFill="1"/>
    <xf numFmtId="0" fontId="4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  <xf numFmtId="2" fontId="1" fillId="4" borderId="0" xfId="0" applyNumberFormat="1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65" fontId="1" fillId="3" borderId="0" xfId="0" applyNumberFormat="1" applyFont="1" applyFill="1"/>
    <xf numFmtId="2" fontId="1" fillId="3" borderId="0" xfId="0" applyNumberFormat="1" applyFont="1" applyFill="1"/>
    <xf numFmtId="166" fontId="1" fillId="3" borderId="0" xfId="0" applyNumberFormat="1" applyFont="1" applyFill="1"/>
    <xf numFmtId="0" fontId="1" fillId="3" borderId="0" xfId="0" applyFont="1" applyFill="1" applyAlignment="1">
      <alignment horizontal="center"/>
    </xf>
    <xf numFmtId="164" fontId="1" fillId="3" borderId="0" xfId="0" applyNumberFormat="1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/>
    <xf numFmtId="164" fontId="1" fillId="3" borderId="2" xfId="0" applyNumberFormat="1" applyFont="1" applyFill="1" applyBorder="1"/>
    <xf numFmtId="165" fontId="1" fillId="3" borderId="2" xfId="0" applyNumberFormat="1" applyFont="1" applyFill="1" applyBorder="1"/>
    <xf numFmtId="165" fontId="1" fillId="3" borderId="3" xfId="0" applyNumberFormat="1" applyFont="1" applyFill="1" applyBorder="1"/>
    <xf numFmtId="0" fontId="1" fillId="3" borderId="6" xfId="0" applyFont="1" applyFill="1" applyBorder="1" applyAlignment="1">
      <alignment horizontal="center" vertical="top" wrapText="1"/>
    </xf>
    <xf numFmtId="165" fontId="1" fillId="3" borderId="0" xfId="0" applyNumberFormat="1" applyFont="1" applyFill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165" fontId="6" fillId="3" borderId="0" xfId="0" applyNumberFormat="1" applyFont="1" applyFill="1"/>
    <xf numFmtId="166" fontId="1" fillId="3" borderId="0" xfId="0" applyNumberFormat="1" applyFont="1" applyFill="1" applyAlignment="1">
      <alignment horizontal="center" vertical="top" wrapText="1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left"/>
    </xf>
    <xf numFmtId="1" fontId="6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165" fontId="6" fillId="3" borderId="0" xfId="0" applyNumberFormat="1" applyFont="1" applyFill="1" applyAlignment="1">
      <alignment horizontal="right"/>
    </xf>
    <xf numFmtId="2" fontId="1" fillId="3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right"/>
    </xf>
    <xf numFmtId="1" fontId="1" fillId="3" borderId="0" xfId="0" applyNumberFormat="1" applyFont="1" applyFill="1" applyAlignment="1">
      <alignment horizontal="right"/>
    </xf>
    <xf numFmtId="1" fontId="1" fillId="3" borderId="0" xfId="0" applyNumberFormat="1" applyFont="1" applyFill="1"/>
    <xf numFmtId="2" fontId="6" fillId="2" borderId="0" xfId="0" applyNumberFormat="1" applyFont="1" applyFill="1"/>
    <xf numFmtId="2" fontId="7" fillId="2" borderId="0" xfId="0" applyNumberFormat="1" applyFont="1" applyFill="1"/>
    <xf numFmtId="0" fontId="8" fillId="2" borderId="0" xfId="0" applyFont="1" applyFill="1" applyAlignment="1">
      <alignment horizontal="left"/>
    </xf>
    <xf numFmtId="2" fontId="6" fillId="3" borderId="0" xfId="0" applyNumberFormat="1" applyFont="1" applyFill="1"/>
    <xf numFmtId="2" fontId="9" fillId="4" borderId="0" xfId="0" applyNumberFormat="1" applyFont="1" applyFill="1"/>
    <xf numFmtId="2" fontId="6" fillId="4" borderId="0" xfId="0" applyNumberFormat="1" applyFont="1" applyFill="1"/>
    <xf numFmtId="0" fontId="8" fillId="4" borderId="0" xfId="0" applyFont="1" applyFill="1" applyAlignment="1">
      <alignment horizontal="left"/>
    </xf>
    <xf numFmtId="2" fontId="4" fillId="4" borderId="0" xfId="0" applyNumberFormat="1" applyFont="1" applyFill="1"/>
    <xf numFmtId="2" fontId="1" fillId="4" borderId="0" xfId="0" applyNumberFormat="1" applyFont="1" applyFill="1"/>
    <xf numFmtId="0" fontId="5" fillId="4" borderId="0" xfId="0" applyFont="1" applyFill="1" applyAlignment="1">
      <alignment horizontal="left"/>
    </xf>
    <xf numFmtId="14" fontId="1" fillId="4" borderId="0" xfId="0" applyNumberFormat="1" applyFont="1" applyFill="1" applyAlignment="1">
      <alignment horizontal="right"/>
    </xf>
    <xf numFmtId="2" fontId="1" fillId="3" borderId="5" xfId="0" applyNumberFormat="1" applyFont="1" applyFill="1" applyBorder="1"/>
    <xf numFmtId="2" fontId="1" fillId="3" borderId="1" xfId="0" applyNumberFormat="1" applyFont="1" applyFill="1" applyBorder="1"/>
    <xf numFmtId="2" fontId="1" fillId="3" borderId="2" xfId="0" applyNumberFormat="1" applyFont="1" applyFill="1" applyBorder="1"/>
    <xf numFmtId="2" fontId="1" fillId="3" borderId="2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2" fontId="1" fillId="3" borderId="7" xfId="0" applyNumberFormat="1" applyFont="1" applyFill="1" applyBorder="1"/>
    <xf numFmtId="2" fontId="6" fillId="3" borderId="0" xfId="0" applyNumberFormat="1" applyFont="1" applyFill="1" applyAlignment="1">
      <alignment horizontal="center"/>
    </xf>
    <xf numFmtId="2" fontId="1" fillId="3" borderId="8" xfId="0" applyNumberFormat="1" applyFont="1" applyFill="1" applyBorder="1" applyAlignment="1">
      <alignment horizontal="center" vertical="top" wrapText="1"/>
    </xf>
    <xf numFmtId="2" fontId="1" fillId="3" borderId="9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 wrapText="1"/>
    </xf>
    <xf numFmtId="2" fontId="1" fillId="3" borderId="12" xfId="0" applyNumberFormat="1" applyFont="1" applyFill="1" applyBorder="1" applyAlignment="1">
      <alignment horizontal="center" wrapText="1"/>
    </xf>
    <xf numFmtId="2" fontId="1" fillId="3" borderId="4" xfId="0" applyNumberFormat="1" applyFont="1" applyFill="1" applyBorder="1"/>
    <xf numFmtId="2" fontId="1" fillId="3" borderId="12" xfId="0" applyNumberFormat="1" applyFont="1" applyFill="1" applyBorder="1"/>
    <xf numFmtId="2" fontId="1" fillId="3" borderId="13" xfId="0" applyNumberFormat="1" applyFont="1" applyFill="1" applyBorder="1" applyAlignment="1">
      <alignment horizontal="center" vertical="top" wrapText="1"/>
    </xf>
    <xf numFmtId="2" fontId="1" fillId="3" borderId="12" xfId="0" applyNumberFormat="1" applyFont="1" applyFill="1" applyBorder="1" applyAlignment="1">
      <alignment horizontal="center" vertical="top" wrapText="1"/>
    </xf>
    <xf numFmtId="2" fontId="6" fillId="3" borderId="14" xfId="0" applyNumberFormat="1" applyFont="1" applyFill="1" applyBorder="1"/>
    <xf numFmtId="2" fontId="6" fillId="3" borderId="15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/>
    <xf numFmtId="2" fontId="1" fillId="3" borderId="3" xfId="0" applyNumberFormat="1" applyFont="1" applyFill="1" applyBorder="1"/>
    <xf numFmtId="2" fontId="1" fillId="3" borderId="0" xfId="0" applyNumberFormat="1" applyFont="1" applyFill="1" applyAlignment="1">
      <alignment horizontal="center" vertical="top" wrapText="1"/>
    </xf>
    <xf numFmtId="2" fontId="6" fillId="3" borderId="0" xfId="0" applyNumberFormat="1" applyFont="1" applyFill="1" applyAlignment="1">
      <alignment vertical="top" wrapText="1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15" xfId="0" applyFont="1" applyFill="1" applyBorder="1"/>
    <xf numFmtId="0" fontId="6" fillId="2" borderId="0" xfId="0" applyFont="1" applyFill="1"/>
    <xf numFmtId="165" fontId="6" fillId="2" borderId="0" xfId="0" applyNumberFormat="1" applyFont="1" applyFill="1"/>
    <xf numFmtId="0" fontId="6" fillId="4" borderId="0" xfId="0" applyFont="1" applyFill="1"/>
    <xf numFmtId="165" fontId="6" fillId="4" borderId="0" xfId="0" applyNumberFormat="1" applyFont="1" applyFill="1"/>
    <xf numFmtId="2" fontId="1" fillId="3" borderId="7" xfId="0" applyNumberFormat="1" applyFont="1" applyFill="1" applyBorder="1" applyAlignment="1">
      <alignment vertical="center"/>
    </xf>
    <xf numFmtId="2" fontId="1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2" fontId="6" fillId="3" borderId="0" xfId="0" applyNumberFormat="1" applyFont="1" applyFill="1" applyAlignment="1">
      <alignment vertical="center"/>
    </xf>
    <xf numFmtId="2" fontId="1" fillId="3" borderId="11" xfId="0" applyNumberFormat="1" applyFont="1" applyFill="1" applyBorder="1" applyAlignment="1">
      <alignment horizontal="center" vertical="center" wrapText="1"/>
    </xf>
    <xf numFmtId="2" fontId="1" fillId="3" borderId="0" xfId="0" applyNumberFormat="1" applyFont="1" applyFill="1" applyAlignment="1">
      <alignment horizontal="center" vertical="center" wrapText="1"/>
    </xf>
    <xf numFmtId="2" fontId="1" fillId="3" borderId="6" xfId="0" applyNumberFormat="1" applyFont="1" applyFill="1" applyBorder="1"/>
    <xf numFmtId="2" fontId="6" fillId="3" borderId="13" xfId="0" applyNumberFormat="1" applyFont="1" applyFill="1" applyBorder="1"/>
    <xf numFmtId="2" fontId="6" fillId="2" borderId="0" xfId="0" applyNumberFormat="1" applyFont="1" applyFill="1" applyAlignment="1">
      <alignment horizontal="right"/>
    </xf>
    <xf numFmtId="2" fontId="4" fillId="4" borderId="0" xfId="0" applyNumberFormat="1" applyFont="1" applyFill="1" applyAlignment="1">
      <alignment horizontal="left"/>
    </xf>
    <xf numFmtId="2" fontId="1" fillId="4" borderId="0" xfId="0" applyNumberFormat="1" applyFont="1" applyFill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6" fillId="3" borderId="3" xfId="0" applyNumberFormat="1" applyFont="1" applyFill="1" applyBorder="1"/>
    <xf numFmtId="2" fontId="1" fillId="3" borderId="4" xfId="0" applyNumberFormat="1" applyFont="1" applyFill="1" applyBorder="1" applyAlignment="1">
      <alignment horizontal="center" wrapText="1"/>
    </xf>
    <xf numFmtId="2" fontId="6" fillId="3" borderId="15" xfId="0" applyNumberFormat="1" applyFont="1" applyFill="1" applyBorder="1" applyAlignment="1">
      <alignment horizontal="right"/>
    </xf>
    <xf numFmtId="2" fontId="10" fillId="2" borderId="0" xfId="0" applyNumberFormat="1" applyFont="1" applyFill="1"/>
    <xf numFmtId="2" fontId="11" fillId="2" borderId="0" xfId="0" applyNumberFormat="1" applyFont="1" applyFill="1"/>
    <xf numFmtId="2" fontId="10" fillId="3" borderId="0" xfId="0" applyNumberFormat="1" applyFont="1" applyFill="1"/>
    <xf numFmtId="0" fontId="12" fillId="4" borderId="0" xfId="0" applyFont="1" applyFill="1"/>
    <xf numFmtId="2" fontId="13" fillId="4" borderId="0" xfId="0" applyNumberFormat="1" applyFont="1" applyFill="1"/>
    <xf numFmtId="2" fontId="10" fillId="4" borderId="0" xfId="0" applyNumberFormat="1" applyFont="1" applyFill="1"/>
    <xf numFmtId="2" fontId="14" fillId="4" borderId="0" xfId="0" applyNumberFormat="1" applyFont="1" applyFill="1"/>
    <xf numFmtId="2" fontId="15" fillId="4" borderId="0" xfId="0" applyNumberFormat="1" applyFont="1" applyFill="1"/>
    <xf numFmtId="2" fontId="15" fillId="4" borderId="0" xfId="0" applyNumberFormat="1" applyFont="1" applyFill="1" applyAlignment="1">
      <alignment horizontal="right"/>
    </xf>
    <xf numFmtId="14" fontId="15" fillId="4" borderId="0" xfId="0" applyNumberFormat="1" applyFont="1" applyFill="1" applyAlignment="1">
      <alignment horizontal="right"/>
    </xf>
    <xf numFmtId="2" fontId="15" fillId="3" borderId="0" xfId="0" applyNumberFormat="1" applyFont="1" applyFill="1" applyAlignment="1">
      <alignment horizontal="center"/>
    </xf>
    <xf numFmtId="2" fontId="15" fillId="3" borderId="0" xfId="0" applyNumberFormat="1" applyFont="1" applyFill="1"/>
    <xf numFmtId="2" fontId="15" fillId="3" borderId="1" xfId="0" applyNumberFormat="1" applyFont="1" applyFill="1" applyBorder="1"/>
    <xf numFmtId="2" fontId="15" fillId="3" borderId="2" xfId="0" applyNumberFormat="1" applyFont="1" applyFill="1" applyBorder="1"/>
    <xf numFmtId="2" fontId="10" fillId="3" borderId="0" xfId="0" applyNumberFormat="1" applyFont="1" applyFill="1" applyAlignment="1">
      <alignment horizontal="center"/>
    </xf>
    <xf numFmtId="2" fontId="15" fillId="3" borderId="8" xfId="0" applyNumberFormat="1" applyFont="1" applyFill="1" applyBorder="1" applyAlignment="1">
      <alignment horizontal="center" vertical="top" wrapText="1"/>
    </xf>
    <xf numFmtId="2" fontId="15" fillId="3" borderId="0" xfId="0" applyNumberFormat="1" applyFont="1" applyFill="1" applyAlignment="1">
      <alignment horizontal="center" vertical="top" wrapText="1"/>
    </xf>
    <xf numFmtId="2" fontId="10" fillId="3" borderId="0" xfId="0" applyNumberFormat="1" applyFont="1" applyFill="1" applyAlignment="1">
      <alignment horizontal="center" vertical="top" wrapText="1"/>
    </xf>
    <xf numFmtId="2" fontId="15" fillId="3" borderId="12" xfId="0" applyNumberFormat="1" applyFont="1" applyFill="1" applyBorder="1" applyAlignment="1">
      <alignment horizontal="center" wrapText="1"/>
    </xf>
    <xf numFmtId="2" fontId="15" fillId="3" borderId="12" xfId="0" applyNumberFormat="1" applyFont="1" applyFill="1" applyBorder="1"/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center"/>
    </xf>
    <xf numFmtId="2" fontId="10" fillId="3" borderId="14" xfId="0" applyNumberFormat="1" applyFont="1" applyFill="1" applyBorder="1"/>
    <xf numFmtId="2" fontId="10" fillId="3" borderId="15" xfId="0" applyNumberFormat="1" applyFont="1" applyFill="1" applyBorder="1"/>
    <xf numFmtId="2" fontId="18" fillId="3" borderId="9" xfId="0" applyNumberFormat="1" applyFont="1" applyFill="1" applyBorder="1" applyAlignment="1">
      <alignment horizontal="center" vertical="top" wrapText="1"/>
    </xf>
    <xf numFmtId="2" fontId="19" fillId="3" borderId="9" xfId="0" applyNumberFormat="1" applyFont="1" applyFill="1" applyBorder="1" applyAlignment="1">
      <alignment horizontal="center" vertical="top" wrapText="1"/>
    </xf>
    <xf numFmtId="2" fontId="19" fillId="3" borderId="10" xfId="0" applyNumberFormat="1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2" fontId="20" fillId="3" borderId="0" xfId="0" applyNumberFormat="1" applyFont="1" applyFill="1"/>
    <xf numFmtId="2" fontId="1" fillId="3" borderId="17" xfId="0" applyNumberFormat="1" applyFont="1" applyFill="1" applyBorder="1"/>
    <xf numFmtId="2" fontId="6" fillId="3" borderId="16" xfId="0" applyNumberFormat="1" applyFont="1" applyFill="1" applyBorder="1"/>
    <xf numFmtId="2" fontId="16" fillId="3" borderId="0" xfId="0" applyNumberFormat="1" applyFont="1" applyFill="1" applyAlignment="1">
      <alignment horizontal="center" vertical="top" wrapText="1"/>
    </xf>
    <xf numFmtId="2" fontId="15" fillId="3" borderId="18" xfId="0" applyNumberFormat="1" applyFont="1" applyFill="1" applyBorder="1"/>
    <xf numFmtId="2" fontId="10" fillId="3" borderId="19" xfId="0" applyNumberFormat="1" applyFont="1" applyFill="1" applyBorder="1"/>
    <xf numFmtId="2" fontId="15" fillId="3" borderId="20" xfId="0" applyNumberFormat="1" applyFont="1" applyFill="1" applyBorder="1"/>
    <xf numFmtId="2" fontId="2" fillId="3" borderId="0" xfId="0" applyNumberFormat="1" applyFont="1" applyFill="1" applyAlignment="1">
      <alignment horizontal="center" vertical="top" wrapText="1"/>
    </xf>
    <xf numFmtId="2" fontId="1" fillId="3" borderId="21" xfId="0" applyNumberFormat="1" applyFont="1" applyFill="1" applyBorder="1"/>
    <xf numFmtId="2" fontId="1" fillId="3" borderId="18" xfId="0" applyNumberFormat="1" applyFont="1" applyFill="1" applyBorder="1"/>
    <xf numFmtId="2" fontId="6" fillId="3" borderId="19" xfId="0" applyNumberFormat="1" applyFont="1" applyFill="1" applyBorder="1"/>
    <xf numFmtId="0" fontId="22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1" fillId="5" borderId="22" xfId="0" applyFont="1" applyFill="1" applyBorder="1" applyAlignment="1">
      <alignment horizontal="left" vertical="top" wrapText="1"/>
    </xf>
    <xf numFmtId="0" fontId="21" fillId="5" borderId="23" xfId="0" applyFont="1" applyFill="1" applyBorder="1" applyAlignment="1">
      <alignment horizontal="center" vertical="top" wrapText="1"/>
    </xf>
    <xf numFmtId="0" fontId="21" fillId="5" borderId="23" xfId="0" applyFont="1" applyFill="1" applyBorder="1" applyAlignment="1">
      <alignment horizontal="right" vertical="top" wrapText="1"/>
    </xf>
    <xf numFmtId="2" fontId="21" fillId="5" borderId="24" xfId="0" applyNumberFormat="1" applyFont="1" applyFill="1" applyBorder="1" applyAlignment="1">
      <alignment horizontal="center" vertical="top" wrapText="1"/>
    </xf>
    <xf numFmtId="2" fontId="21" fillId="5" borderId="25" xfId="0" applyNumberFormat="1" applyFont="1" applyFill="1" applyBorder="1" applyAlignment="1">
      <alignment horizontal="center" vertical="top" wrapText="1"/>
    </xf>
    <xf numFmtId="2" fontId="21" fillId="5" borderId="28" xfId="0" applyNumberFormat="1" applyFont="1" applyFill="1" applyBorder="1" applyAlignment="1">
      <alignment horizontal="center" vertical="center" wrapText="1"/>
    </xf>
    <xf numFmtId="2" fontId="21" fillId="5" borderId="25" xfId="0" applyNumberFormat="1" applyFont="1" applyFill="1" applyBorder="1" applyAlignment="1">
      <alignment horizontal="center" vertical="center" wrapText="1"/>
    </xf>
    <xf numFmtId="2" fontId="23" fillId="6" borderId="0" xfId="0" applyNumberFormat="1" applyFont="1" applyFill="1" applyAlignment="1">
      <alignment horizontal="left"/>
    </xf>
    <xf numFmtId="2" fontId="23" fillId="6" borderId="0" xfId="0" applyNumberFormat="1" applyFont="1" applyFill="1"/>
    <xf numFmtId="2" fontId="24" fillId="5" borderId="26" xfId="0" applyNumberFormat="1" applyFont="1" applyFill="1" applyBorder="1" applyAlignment="1">
      <alignment horizontal="center" vertical="top" wrapText="1"/>
    </xf>
    <xf numFmtId="2" fontId="1" fillId="3" borderId="30" xfId="0" applyNumberFormat="1" applyFont="1" applyFill="1" applyBorder="1"/>
    <xf numFmtId="2" fontId="6" fillId="3" borderId="29" xfId="0" applyNumberFormat="1" applyFont="1" applyFill="1" applyBorder="1"/>
    <xf numFmtId="2" fontId="1" fillId="3" borderId="31" xfId="0" applyNumberFormat="1" applyFont="1" applyFill="1" applyBorder="1"/>
    <xf numFmtId="2" fontId="21" fillId="5" borderId="27" xfId="0" applyNumberFormat="1" applyFont="1" applyFill="1" applyBorder="1" applyAlignment="1">
      <alignment horizontal="center" vertical="center"/>
    </xf>
    <xf numFmtId="2" fontId="21" fillId="5" borderId="20" xfId="0" applyNumberFormat="1" applyFont="1" applyFill="1" applyBorder="1" applyAlignment="1">
      <alignment horizontal="center" vertical="center"/>
    </xf>
  </cellXfs>
  <cellStyles count="1">
    <cellStyle name="Normal" xfId="0" builtinId="0" customBuiltin="1"/>
  </cellStyles>
  <dxfs count="16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c:style val="2"/>
  <c:chart>
    <c:title>
      <c:tx>
        <c:rich>
          <a:bodyPr rot="0" vertOverflow="overflow" vert="horz" rtlCol="0" anchor="t"/>
          <a:lstStyle/>
          <a:p>
            <a:pPr lvl="0" algn="ctr" defTabSz="91440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75" b="1" kern="12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875" b="1">
                <a:effectLst/>
              </a:rPr>
              <a:t>Utførte anbrakte masse (m3)</a:t>
            </a:r>
          </a:p>
        </c:rich>
      </c:tx>
      <c:layout>
        <c:manualLayout>
          <c:xMode val="edge"/>
          <c:yMode val="edge"/>
          <c:x val="0.36269442986293399"/>
        </c:manualLayout>
      </c:layout>
      <c:overlay val="0"/>
      <c:spPr>
        <a:noFill/>
        <a:ln>
          <a:noFill/>
        </a:ln>
      </c:spPr>
    </c:title>
    <c:autoTitleDeleted val="0"/>
    <c:view3D>
      <c:rotX val="40"/>
      <c:rotY val="0"/>
      <c:rAngAx val="0"/>
    </c:view3D>
    <c:floor>
      <c:thickness val="0"/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0.314335141440653"/>
          <c:y val="0.34101341078762798"/>
          <c:w val="0.37132995042286399"/>
          <c:h val="0.42396272512045502"/>
        </c:manualLayout>
      </c:layout>
      <c:pie3DChart>
        <c:varyColors val="1"/>
        <c:ser>
          <c:idx val="0"/>
          <c:order val="0"/>
          <c:tx>
            <c:strRef>
              <c:f>Sammendrag!$A$15:$A$15</c:f>
              <c:strCache>
                <c:ptCount val="1"/>
                <c:pt idx="0">
                  <c:v>Jord</c:v>
                </c:pt>
              </c:strCache>
            </c:strRef>
          </c:tx>
          <c:dPt>
            <c:idx val="0"/>
            <c:bubble3D val="0"/>
            <c:spPr>
              <a:solidFill>
                <a:srgbClr val="C0C0C0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02E-4CA4-ADB0-652DDE4E7AB5}"/>
              </c:ext>
            </c:extLst>
          </c:dPt>
          <c:dPt>
            <c:idx val="1"/>
            <c:bubble3D val="0"/>
            <c:spPr>
              <a:solidFill>
                <a:srgbClr val="808080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02E-4CA4-ADB0-652DDE4E7AB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02E-4CA4-ADB0-652DDE4E7AB5}"/>
              </c:ext>
            </c:extLst>
          </c:dPt>
          <c:dPt>
            <c:idx val="3"/>
            <c:bubble3D val="0"/>
            <c:spPr>
              <a:solidFill>
                <a:srgbClr val="FFFFFF"/>
              </a:solidFill>
              <a:ln w="12701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02E-4CA4-ADB0-652DDE4E7A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Overflow="overflow" vert="horz" rtlCol="0" anchor="t"/>
              <a:lstStyle/>
              <a:p>
                <a:pPr lvl="0" algn="ctr" defTabSz="91440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800" b="0" kern="12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Sammendrag!$A$15:$A$18</c:f>
              <c:strCache>
                <c:ptCount val="4"/>
                <c:pt idx="0">
                  <c:v>Jord</c:v>
                </c:pt>
                <c:pt idx="1">
                  <c:v>Fjell</c:v>
                </c:pt>
                <c:pt idx="2">
                  <c:v>Dypsprenging</c:v>
                </c:pt>
                <c:pt idx="3">
                  <c:v>Fylling</c:v>
                </c:pt>
              </c:strCache>
            </c:strRef>
          </c:cat>
          <c:val>
            <c:numRef>
              <c:f>Sammendrag!$E$15:$E$18</c:f>
              <c:numCache>
                <c:formatCode>0</c:formatCode>
                <c:ptCount val="4"/>
                <c:pt idx="0">
                  <c:v>0</c:v>
                </c:pt>
                <c:pt idx="1">
                  <c:v>132.91703962556497</c:v>
                </c:pt>
                <c:pt idx="2">
                  <c:v>0</c:v>
                </c:pt>
                <c:pt idx="3">
                  <c:v>43.634803772832342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2E-4CA4-ADB0-652DDE4E7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txPr>
    <a:bodyPr rot="0" vertOverflow="overflow" vert="horz" rtlCol="0" anchor="t"/>
    <a:lstStyle/>
    <a:p>
      <a:pPr lvl="0" defTabSz="914400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800" b="0" kern="120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190496</xdr:colOff>
      <xdr:row>3</xdr:row>
      <xdr:rowOff>133346</xdr:rowOff>
    </xdr:from>
    <xdr:ext cx="4286249" cy="3305171"/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62096" cy="57150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562096" cy="571500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tabSelected="1" topLeftCell="A8" workbookViewId="0">
      <selection activeCell="A2" sqref="A2"/>
    </sheetView>
  </sheetViews>
  <sheetFormatPr baseColWidth="10" defaultColWidth="11.6328125" defaultRowHeight="12" x14ac:dyDescent="0.3"/>
  <cols>
    <col min="1" max="1" width="17.08984375" style="21" customWidth="1"/>
    <col min="2" max="2" width="17.36328125" style="7" customWidth="1"/>
    <col min="3" max="3" width="15.26953125" style="22" customWidth="1"/>
    <col min="4" max="4" width="17.6328125" style="22" customWidth="1"/>
    <col min="5" max="5" width="16" style="18" customWidth="1"/>
    <col min="6" max="6" width="15.26953125" style="18" customWidth="1"/>
    <col min="7" max="7" width="16.36328125" style="18" customWidth="1"/>
    <col min="8" max="8" width="15.7265625" style="18" customWidth="1"/>
    <col min="9" max="9" width="16.08984375" style="18" customWidth="1"/>
    <col min="10" max="10" width="14.36328125" style="20" customWidth="1"/>
    <col min="11" max="11" width="11.6328125" style="7" customWidth="1"/>
    <col min="12" max="16384" width="11.6328125" style="7"/>
  </cols>
  <sheetData>
    <row r="1" spans="1:12" ht="44.25" customHeight="1" x14ac:dyDescent="0.3">
      <c r="A1" s="1"/>
      <c r="B1" s="2"/>
      <c r="C1" s="3"/>
      <c r="D1" s="4"/>
      <c r="E1" s="5"/>
      <c r="F1" s="5"/>
      <c r="G1" s="5"/>
      <c r="H1" s="5"/>
      <c r="I1" s="5"/>
      <c r="J1" s="6"/>
      <c r="K1" s="2"/>
      <c r="L1" s="2"/>
    </row>
    <row r="2" spans="1:12" ht="16.899999999999999" customHeight="1" x14ac:dyDescent="0.4">
      <c r="A2" s="8" t="s">
        <v>6</v>
      </c>
      <c r="B2" s="8"/>
      <c r="C2" s="9"/>
      <c r="D2" s="9"/>
      <c r="E2" s="9"/>
      <c r="F2" s="9"/>
      <c r="G2" s="9"/>
      <c r="H2" s="9"/>
      <c r="I2" s="10"/>
      <c r="J2" s="11"/>
      <c r="K2" s="9"/>
      <c r="L2" s="9"/>
    </row>
    <row r="3" spans="1:12" ht="16.149999999999999" customHeight="1" x14ac:dyDescent="0.35">
      <c r="A3" s="12" t="s">
        <v>7</v>
      </c>
      <c r="B3" s="12"/>
      <c r="C3" s="13"/>
      <c r="D3" s="9"/>
      <c r="E3" s="9"/>
      <c r="F3" s="9"/>
      <c r="G3" s="9"/>
      <c r="H3" s="9"/>
      <c r="I3" s="10"/>
      <c r="J3" s="11"/>
      <c r="K3" s="9"/>
      <c r="L3" s="9"/>
    </row>
    <row r="4" spans="1:12" ht="16.149999999999999" customHeight="1" x14ac:dyDescent="0.35">
      <c r="A4" s="12" t="s">
        <v>8</v>
      </c>
      <c r="B4" s="12" t="s">
        <v>108</v>
      </c>
      <c r="C4" s="14"/>
      <c r="D4" s="9"/>
      <c r="E4" s="9"/>
      <c r="F4" s="9"/>
      <c r="G4" s="9"/>
      <c r="H4" s="9"/>
      <c r="I4" s="10"/>
      <c r="J4" s="11"/>
      <c r="K4" s="9"/>
      <c r="L4" s="9"/>
    </row>
    <row r="5" spans="1:12" ht="15" customHeight="1" x14ac:dyDescent="0.3">
      <c r="A5" s="9"/>
      <c r="B5" s="9"/>
      <c r="C5" s="9"/>
      <c r="D5" s="9"/>
      <c r="E5" s="10"/>
      <c r="F5" s="9" t="s">
        <v>9</v>
      </c>
      <c r="G5" s="9"/>
      <c r="H5" s="15">
        <v>1.1000000000000001</v>
      </c>
      <c r="I5" s="10"/>
      <c r="J5" s="11"/>
      <c r="K5" s="9"/>
      <c r="L5" s="9"/>
    </row>
    <row r="6" spans="1:12" ht="15" customHeight="1" x14ac:dyDescent="0.3">
      <c r="A6" s="9"/>
      <c r="B6" s="9"/>
      <c r="C6" s="9"/>
      <c r="D6" s="9"/>
      <c r="E6" s="10"/>
      <c r="F6" s="9" t="s">
        <v>10</v>
      </c>
      <c r="G6" s="9"/>
      <c r="H6" s="15">
        <v>171.345</v>
      </c>
      <c r="I6" s="10"/>
      <c r="J6" s="11"/>
      <c r="K6" s="9"/>
      <c r="L6" s="9"/>
    </row>
    <row r="7" spans="1:12" ht="15" customHeight="1" x14ac:dyDescent="0.3">
      <c r="A7" s="9"/>
      <c r="B7" s="9"/>
      <c r="C7" s="9"/>
      <c r="D7" s="9"/>
      <c r="E7" s="10"/>
      <c r="F7" s="9" t="s">
        <v>11</v>
      </c>
      <c r="G7" s="9"/>
      <c r="H7" s="16" t="s">
        <v>109</v>
      </c>
      <c r="I7" s="10"/>
      <c r="J7" s="11"/>
      <c r="K7" s="9"/>
      <c r="L7" s="9"/>
    </row>
    <row r="8" spans="1:12" ht="15" customHeight="1" x14ac:dyDescent="0.3">
      <c r="A8" s="17"/>
      <c r="B8" s="9"/>
      <c r="C8" s="9"/>
      <c r="D8" s="9"/>
      <c r="E8" s="9"/>
      <c r="F8" s="10"/>
      <c r="G8" s="10"/>
      <c r="H8" s="10"/>
      <c r="I8" s="10"/>
      <c r="J8" s="11"/>
      <c r="K8" s="9"/>
      <c r="L8" s="9"/>
    </row>
    <row r="9" spans="1:12" ht="15" customHeight="1" x14ac:dyDescent="0.3">
      <c r="A9" s="7"/>
      <c r="B9" s="18"/>
      <c r="C9" s="19"/>
      <c r="D9" s="19"/>
      <c r="E9" s="19"/>
      <c r="F9" s="19"/>
      <c r="G9" s="19"/>
      <c r="H9" s="19"/>
    </row>
    <row r="10" spans="1:12" ht="15" customHeight="1" x14ac:dyDescent="0.3"/>
    <row r="11" spans="1:12" x14ac:dyDescent="0.3">
      <c r="A11" s="23"/>
      <c r="B11" s="24"/>
      <c r="C11" s="25"/>
      <c r="D11" s="25"/>
      <c r="E11" s="26"/>
      <c r="F11" s="26"/>
      <c r="G11" s="26"/>
      <c r="H11" s="27"/>
    </row>
    <row r="12" spans="1:12" ht="34.9" customHeight="1" x14ac:dyDescent="0.3">
      <c r="A12" s="145" t="s">
        <v>60</v>
      </c>
      <c r="B12" s="146"/>
      <c r="C12" s="147" t="s">
        <v>61</v>
      </c>
      <c r="D12" s="147" t="s">
        <v>62</v>
      </c>
      <c r="E12" s="147" t="s">
        <v>63</v>
      </c>
      <c r="F12" s="147"/>
      <c r="G12" s="147" t="s">
        <v>64</v>
      </c>
      <c r="H12" s="28"/>
      <c r="I12" s="29"/>
      <c r="J12" s="29"/>
    </row>
    <row r="13" spans="1:12" ht="12" customHeight="1" x14ac:dyDescent="0.3">
      <c r="A13" s="30"/>
      <c r="B13" s="31"/>
      <c r="C13" s="32"/>
      <c r="D13" s="31"/>
      <c r="E13" s="33"/>
      <c r="F13" s="31"/>
      <c r="G13" s="33"/>
      <c r="H13" s="31"/>
      <c r="I13" s="29"/>
      <c r="J13" s="34"/>
    </row>
    <row r="14" spans="1:12" x14ac:dyDescent="0.3">
      <c r="A14" s="144" t="s">
        <v>32</v>
      </c>
      <c r="B14" s="30"/>
      <c r="C14" s="36" t="s">
        <v>0</v>
      </c>
      <c r="D14" s="37"/>
      <c r="E14" s="38" t="s">
        <v>0</v>
      </c>
      <c r="F14" s="39"/>
      <c r="G14" s="38"/>
      <c r="H14" s="30"/>
    </row>
    <row r="15" spans="1:12" x14ac:dyDescent="0.3">
      <c r="A15" s="143" t="s">
        <v>33</v>
      </c>
      <c r="B15" s="21"/>
      <c r="C15" s="41">
        <f ca="1">SUM([0]!Lev_SoilCut)</f>
        <v>0</v>
      </c>
      <c r="D15" s="42" t="str">
        <f ca="1">IF(E15=0,"-",E15/C15)</f>
        <v>-</v>
      </c>
      <c r="E15" s="41">
        <f ca="1">SUM([0]!Lev_P_SoilCut)</f>
        <v>0</v>
      </c>
      <c r="F15" s="43"/>
      <c r="G15" s="43"/>
      <c r="H15" s="33"/>
      <c r="I15" s="44"/>
    </row>
    <row r="16" spans="1:12" x14ac:dyDescent="0.3">
      <c r="A16" s="143" t="s">
        <v>34</v>
      </c>
      <c r="B16" s="30"/>
      <c r="C16" s="41">
        <f ca="1">SUM([0]!Lev_RockCut)</f>
        <v>132.91703962556497</v>
      </c>
      <c r="D16" s="42">
        <f ca="1">IF(E16=0,"-",E16/C16)</f>
        <v>1</v>
      </c>
      <c r="E16" s="41">
        <f ca="1">SUM([0]!Lev_P_RockCut)</f>
        <v>132.91703962556497</v>
      </c>
      <c r="F16" s="43"/>
      <c r="G16" s="43"/>
      <c r="H16" s="33"/>
    </row>
    <row r="17" spans="1:8" x14ac:dyDescent="0.3">
      <c r="A17" s="143" t="s">
        <v>35</v>
      </c>
      <c r="B17" s="30"/>
      <c r="C17" s="41">
        <f ca="1">SUM([0]!Lev_DeepBlasting)</f>
        <v>0</v>
      </c>
      <c r="D17" s="42" t="str">
        <f ca="1">IF(E17=0,"-",E17/C17)</f>
        <v>-</v>
      </c>
      <c r="E17" s="41">
        <f ca="1">SUM([0]!Lev_P_DeepBlasting)</f>
        <v>0</v>
      </c>
      <c r="F17" s="43"/>
      <c r="G17" s="43"/>
      <c r="H17" s="33"/>
    </row>
    <row r="18" spans="1:8" x14ac:dyDescent="0.3">
      <c r="A18" s="143" t="s">
        <v>36</v>
      </c>
      <c r="B18" s="30"/>
      <c r="C18" s="41">
        <f ca="1">SUM([0]!Lev_Fill)</f>
        <v>43.634803772832342</v>
      </c>
      <c r="D18" s="42">
        <f ca="1">IF(E18=0,"-",E18/C18)</f>
        <v>1</v>
      </c>
      <c r="E18" s="41">
        <f ca="1">SUM([0]!Lev_P_Fill)</f>
        <v>43.634803772832342</v>
      </c>
      <c r="F18" s="43"/>
      <c r="G18" s="43"/>
      <c r="H18" s="33"/>
    </row>
    <row r="19" spans="1:8" x14ac:dyDescent="0.3">
      <c r="A19" s="40"/>
      <c r="B19" s="30"/>
      <c r="C19" s="45"/>
      <c r="D19" s="42"/>
      <c r="E19" s="43"/>
      <c r="F19" s="39"/>
      <c r="G19" s="43"/>
      <c r="H19" s="33"/>
    </row>
    <row r="20" spans="1:8" x14ac:dyDescent="0.3">
      <c r="A20" s="40"/>
      <c r="B20" s="30"/>
      <c r="C20" s="41"/>
      <c r="D20" s="39"/>
      <c r="E20" s="43"/>
      <c r="F20" s="39"/>
      <c r="G20" s="43"/>
      <c r="H20" s="33"/>
    </row>
    <row r="21" spans="1:8" x14ac:dyDescent="0.3">
      <c r="A21" s="35" t="s">
        <v>27</v>
      </c>
      <c r="B21" s="30"/>
      <c r="C21" s="46" t="s">
        <v>0</v>
      </c>
      <c r="D21" s="39"/>
      <c r="E21" s="43"/>
      <c r="F21" s="39"/>
      <c r="G21" s="43"/>
      <c r="H21" s="30"/>
    </row>
    <row r="22" spans="1:8" x14ac:dyDescent="0.3">
      <c r="A22" s="143" t="s">
        <v>12</v>
      </c>
      <c r="B22" s="30"/>
      <c r="C22" s="41">
        <f ca="1">SUM([0]!Other_SoftSpot)</f>
        <v>0</v>
      </c>
      <c r="D22" s="45"/>
      <c r="E22" s="43"/>
      <c r="F22" s="39"/>
      <c r="G22" s="43"/>
      <c r="H22" s="33"/>
    </row>
    <row r="23" spans="1:8" x14ac:dyDescent="0.3">
      <c r="A23" s="143" t="s">
        <v>13</v>
      </c>
      <c r="B23" s="30"/>
      <c r="C23" s="41">
        <f ca="1">SUM([0]!Other_TopSoil)</f>
        <v>0</v>
      </c>
      <c r="D23" s="45"/>
      <c r="E23" s="43"/>
      <c r="F23" s="39"/>
      <c r="G23" s="43"/>
      <c r="H23" s="33"/>
    </row>
    <row r="24" spans="1:8" x14ac:dyDescent="0.3">
      <c r="A24" s="143" t="s">
        <v>16</v>
      </c>
      <c r="B24" s="30"/>
      <c r="C24" s="41">
        <f ca="1">SUM([0]!Other_Vegetation)</f>
        <v>0</v>
      </c>
      <c r="D24" s="45"/>
      <c r="E24" s="43"/>
      <c r="F24" s="39"/>
      <c r="G24" s="43"/>
      <c r="H24" s="33"/>
    </row>
    <row r="25" spans="1:8" x14ac:dyDescent="0.3">
      <c r="A25" s="143" t="s">
        <v>17</v>
      </c>
      <c r="B25" s="30"/>
      <c r="C25" s="41">
        <f ca="1">SUM([0]!Other_Sodding)</f>
        <v>0</v>
      </c>
      <c r="D25" s="45"/>
      <c r="E25" s="43"/>
      <c r="F25" s="39"/>
      <c r="G25" s="43"/>
      <c r="H25" s="33"/>
    </row>
    <row r="26" spans="1:8" x14ac:dyDescent="0.3">
      <c r="A26" s="143" t="s">
        <v>19</v>
      </c>
      <c r="B26" s="30"/>
      <c r="C26" s="41">
        <f ca="1">SUM([0]!Other_Landsc_Cut)</f>
        <v>0</v>
      </c>
      <c r="D26" s="45"/>
      <c r="E26" s="43"/>
      <c r="F26" s="39"/>
      <c r="G26" s="43"/>
      <c r="H26" s="33"/>
    </row>
    <row r="27" spans="1:8" x14ac:dyDescent="0.3">
      <c r="A27" s="143" t="s">
        <v>28</v>
      </c>
      <c r="B27" s="30"/>
      <c r="C27" s="41">
        <f ca="1">SUM([0]!Other_Landsc_Fill)</f>
        <v>0</v>
      </c>
      <c r="D27" s="45"/>
      <c r="E27" s="43"/>
      <c r="F27" s="39"/>
      <c r="G27" s="43"/>
      <c r="H27" s="33"/>
    </row>
    <row r="28" spans="1:8" x14ac:dyDescent="0.3">
      <c r="A28" s="143" t="s">
        <v>29</v>
      </c>
      <c r="B28" s="30"/>
      <c r="C28" s="41">
        <f ca="1">SUM([0]!Other_SideEdge_Fill)</f>
        <v>0</v>
      </c>
      <c r="D28" s="45"/>
      <c r="E28" s="43"/>
      <c r="F28" s="39"/>
      <c r="G28" s="43"/>
      <c r="H28" s="33"/>
    </row>
    <row r="29" spans="1:8" x14ac:dyDescent="0.3">
      <c r="A29" s="143" t="s">
        <v>30</v>
      </c>
      <c r="B29" s="30"/>
      <c r="C29" s="41">
        <f ca="1">SUM([0]!Other_Rounding_Cut)</f>
        <v>0</v>
      </c>
      <c r="D29" s="45"/>
      <c r="E29" s="43"/>
      <c r="F29" s="39"/>
      <c r="G29" s="43"/>
      <c r="H29" s="33"/>
    </row>
    <row r="30" spans="1:8" x14ac:dyDescent="0.3">
      <c r="A30" s="143" t="s">
        <v>31</v>
      </c>
      <c r="B30" s="30"/>
      <c r="C30" s="41">
        <f ca="1">SUM([0]!Other_Rounding_Fill)</f>
        <v>0</v>
      </c>
      <c r="D30" s="45"/>
      <c r="E30" s="43"/>
      <c r="F30" s="39"/>
      <c r="G30" s="43"/>
      <c r="H30" s="33"/>
    </row>
    <row r="31" spans="1:8" x14ac:dyDescent="0.3">
      <c r="A31" s="40"/>
      <c r="B31" s="30"/>
      <c r="C31" s="41"/>
      <c r="D31" s="45"/>
      <c r="E31" s="43"/>
      <c r="F31" s="39"/>
      <c r="G31" s="43"/>
      <c r="H31" s="33"/>
    </row>
    <row r="32" spans="1:8" x14ac:dyDescent="0.3">
      <c r="A32" s="40"/>
      <c r="B32" s="30"/>
      <c r="C32" s="41"/>
      <c r="D32" s="39"/>
      <c r="E32" s="43"/>
      <c r="F32" s="39"/>
      <c r="G32" s="43"/>
      <c r="H32" s="33"/>
    </row>
    <row r="33" spans="1:8" x14ac:dyDescent="0.3">
      <c r="A33" s="144" t="s">
        <v>37</v>
      </c>
      <c r="B33" s="30"/>
      <c r="C33" s="46" t="s">
        <v>0</v>
      </c>
      <c r="D33" s="39"/>
      <c r="E33" s="43"/>
      <c r="F33" s="39"/>
      <c r="G33" s="43"/>
      <c r="H33" s="30"/>
    </row>
    <row r="34" spans="1:8" x14ac:dyDescent="0.3">
      <c r="A34" s="143" t="s">
        <v>38</v>
      </c>
      <c r="B34" s="30"/>
      <c r="C34" s="41">
        <f ca="1">SUM([0]!IncLev_CD_SoilCut)</f>
        <v>0</v>
      </c>
      <c r="D34" s="45"/>
      <c r="E34" s="43"/>
      <c r="F34" s="39"/>
      <c r="G34" s="43"/>
      <c r="H34" s="33"/>
    </row>
    <row r="35" spans="1:8" x14ac:dyDescent="0.3">
      <c r="A35" s="143" t="s">
        <v>39</v>
      </c>
      <c r="B35" s="30"/>
      <c r="C35" s="41">
        <f ca="1">SUM([0]!IncLev_CD_RockCut)</f>
        <v>0</v>
      </c>
      <c r="D35" s="45"/>
      <c r="E35" s="43"/>
      <c r="F35" s="39"/>
      <c r="G35" s="43"/>
      <c r="H35" s="33"/>
    </row>
    <row r="36" spans="1:8" x14ac:dyDescent="0.3">
      <c r="A36" s="143" t="s">
        <v>40</v>
      </c>
      <c r="B36" s="30"/>
      <c r="C36" s="41">
        <f ca="1">SUM([0]!IncLev_CD_Fill)</f>
        <v>0</v>
      </c>
      <c r="D36" s="45"/>
      <c r="E36" s="43"/>
      <c r="F36" s="39"/>
      <c r="G36" s="43"/>
      <c r="H36" s="33"/>
    </row>
    <row r="37" spans="1:8" x14ac:dyDescent="0.3">
      <c r="A37" s="40"/>
      <c r="B37" s="30"/>
      <c r="C37" s="41"/>
      <c r="D37" s="39"/>
      <c r="E37" s="43"/>
      <c r="F37" s="39"/>
      <c r="G37" s="41"/>
      <c r="H37" s="33"/>
    </row>
    <row r="38" spans="1:8" x14ac:dyDescent="0.3">
      <c r="A38" s="40"/>
      <c r="B38" s="30"/>
      <c r="C38" s="41"/>
      <c r="D38" s="39"/>
      <c r="E38" s="43"/>
      <c r="F38" s="39"/>
      <c r="G38" s="41"/>
      <c r="H38" s="33"/>
    </row>
    <row r="39" spans="1:8" x14ac:dyDescent="0.3">
      <c r="A39" s="144" t="s">
        <v>41</v>
      </c>
      <c r="B39" s="30"/>
      <c r="C39" s="46" t="s">
        <v>0</v>
      </c>
      <c r="D39" s="39"/>
      <c r="E39" s="43"/>
      <c r="F39" s="39"/>
      <c r="G39" s="46" t="s">
        <v>1</v>
      </c>
      <c r="H39" s="30"/>
    </row>
    <row r="40" spans="1:8" x14ac:dyDescent="0.3">
      <c r="A40" s="143" t="s">
        <v>42</v>
      </c>
      <c r="B40" s="30"/>
      <c r="C40" s="41">
        <f ca="1">SUM([0]!ST_Surface_Vol)</f>
        <v>29.042502193163028</v>
      </c>
      <c r="D40" s="43"/>
      <c r="E40" s="39"/>
      <c r="F40" s="43"/>
      <c r="G40" s="41">
        <f ca="1">SUM([0]!ST_Surface_Area)</f>
        <v>438.81924468197644</v>
      </c>
    </row>
    <row r="41" spans="1:8" x14ac:dyDescent="0.3">
      <c r="A41" s="143" t="s">
        <v>43</v>
      </c>
      <c r="B41" s="30"/>
      <c r="C41" s="41">
        <f ca="1">SUM([0]!ST_Binder1_Vol)</f>
        <v>0</v>
      </c>
      <c r="D41" s="43"/>
      <c r="E41" s="39"/>
      <c r="F41" s="43"/>
      <c r="G41" s="41">
        <f ca="1">SUM([0]!ST_Binder1_Area)</f>
        <v>0</v>
      </c>
    </row>
    <row r="42" spans="1:8" x14ac:dyDescent="0.3">
      <c r="A42" s="143" t="s">
        <v>44</v>
      </c>
      <c r="B42" s="30"/>
      <c r="C42" s="41">
        <f ca="1">SUM([0]!ST_Binder2_Vol)</f>
        <v>0</v>
      </c>
      <c r="D42" s="43"/>
      <c r="E42" s="39"/>
      <c r="F42" s="43"/>
      <c r="G42" s="41">
        <f ca="1">SUM([0]!ST_Binder2_Area)</f>
        <v>0</v>
      </c>
    </row>
    <row r="43" spans="1:8" x14ac:dyDescent="0.3">
      <c r="A43" s="143" t="s">
        <v>45</v>
      </c>
      <c r="B43" s="30"/>
      <c r="C43" s="41">
        <f ca="1">SUM([0]!ST_Base1_Vol)</f>
        <v>73.557685874374215</v>
      </c>
      <c r="D43" s="43"/>
      <c r="E43" s="39"/>
      <c r="F43" s="43"/>
      <c r="G43" s="41">
        <f ca="1">SUM([0]!ST_Base1_Area)</f>
        <v>487.8873825786261</v>
      </c>
    </row>
    <row r="44" spans="1:8" x14ac:dyDescent="0.3">
      <c r="A44" s="143" t="s">
        <v>46</v>
      </c>
      <c r="B44" s="30"/>
      <c r="C44" s="41">
        <f ca="1">SUM([0]!ST_Base2_Vol)</f>
        <v>77.050578814776586</v>
      </c>
      <c r="D44" s="43"/>
      <c r="E44" s="39"/>
      <c r="F44" s="43"/>
      <c r="G44" s="41">
        <f ca="1">SUM([0]!ST_Base2_Area)</f>
        <v>481.90679322997642</v>
      </c>
    </row>
    <row r="45" spans="1:8" x14ac:dyDescent="0.3">
      <c r="A45" s="143" t="s">
        <v>47</v>
      </c>
      <c r="B45" s="30"/>
      <c r="C45" s="41">
        <f ca="1">SUM([0]!ST_Base3_Vol)</f>
        <v>0</v>
      </c>
      <c r="D45" s="43"/>
      <c r="E45" s="39"/>
      <c r="F45" s="43"/>
      <c r="G45" s="41">
        <f ca="1">SUM([0]!ST_Base3_Area)</f>
        <v>0</v>
      </c>
    </row>
    <row r="46" spans="1:8" x14ac:dyDescent="0.3">
      <c r="A46" s="143" t="s">
        <v>48</v>
      </c>
      <c r="B46" s="30"/>
      <c r="C46" s="41">
        <f ca="1">SUM([0]!ST_Subbase1_Vol)</f>
        <v>0</v>
      </c>
      <c r="D46" s="43"/>
      <c r="E46" s="39"/>
      <c r="F46" s="43"/>
      <c r="G46" s="41">
        <f ca="1">SUM([0]!ST_Subbase1_Area)</f>
        <v>0</v>
      </c>
    </row>
    <row r="47" spans="1:8" x14ac:dyDescent="0.3">
      <c r="A47" s="143" t="s">
        <v>49</v>
      </c>
      <c r="B47" s="30"/>
      <c r="C47" s="41">
        <f ca="1">SUM([0]!ST_Subbase2_Vol)</f>
        <v>0</v>
      </c>
      <c r="D47" s="43"/>
      <c r="E47" s="39"/>
      <c r="F47" s="43"/>
      <c r="G47" s="41">
        <f ca="1">SUM([0]!ST_Subbase2_Area)</f>
        <v>0</v>
      </c>
    </row>
    <row r="48" spans="1:8" x14ac:dyDescent="0.3">
      <c r="A48" s="143" t="s">
        <v>50</v>
      </c>
      <c r="B48" s="30"/>
      <c r="C48" s="41">
        <f ca="1">SUM([0]!ST_Subbase3_Vol)</f>
        <v>0</v>
      </c>
      <c r="D48" s="43"/>
      <c r="E48" s="39"/>
      <c r="F48" s="43"/>
      <c r="G48" s="41">
        <f ca="1">SUM([0]!ST_Subbase3_Area)</f>
        <v>0</v>
      </c>
    </row>
    <row r="49" spans="1:8" x14ac:dyDescent="0.3">
      <c r="A49" s="143" t="s">
        <v>51</v>
      </c>
      <c r="B49" s="30"/>
      <c r="C49" s="41">
        <f ca="1">SUM([0]!ST_Filter_Vol)</f>
        <v>0.44187680538125973</v>
      </c>
      <c r="D49" s="43"/>
      <c r="E49" s="39"/>
      <c r="F49" s="43"/>
      <c r="G49" s="41">
        <f ca="1">SUM([0]!ST_Filter_Area)</f>
        <v>457.39245825430413</v>
      </c>
    </row>
    <row r="50" spans="1:8" x14ac:dyDescent="0.3">
      <c r="A50" s="40"/>
      <c r="B50" s="30"/>
      <c r="C50" s="41"/>
      <c r="D50" s="39"/>
      <c r="E50" s="43"/>
      <c r="F50" s="39"/>
      <c r="G50" s="41"/>
      <c r="H50" s="33"/>
    </row>
    <row r="51" spans="1:8" x14ac:dyDescent="0.3">
      <c r="A51" s="40"/>
      <c r="B51" s="30"/>
      <c r="C51" s="41"/>
      <c r="D51" s="39"/>
      <c r="E51" s="43"/>
      <c r="F51" s="39"/>
      <c r="G51" s="41"/>
      <c r="H51" s="33"/>
    </row>
    <row r="52" spans="1:8" x14ac:dyDescent="0.3">
      <c r="A52" s="144" t="s">
        <v>52</v>
      </c>
      <c r="B52" s="30"/>
      <c r="C52" s="41"/>
      <c r="D52" s="45"/>
      <c r="E52" s="43"/>
      <c r="F52" s="43"/>
      <c r="G52" s="46" t="s">
        <v>1</v>
      </c>
      <c r="H52" s="30"/>
    </row>
    <row r="53" spans="1:8" x14ac:dyDescent="0.3">
      <c r="A53" s="143" t="s">
        <v>95</v>
      </c>
      <c r="B53" s="30"/>
      <c r="C53" s="41"/>
      <c r="D53" s="45"/>
      <c r="E53" s="43"/>
      <c r="F53" s="43"/>
      <c r="G53" s="41">
        <f ca="1">SUM([0]!Areas_SG0)</f>
        <v>339.2083125283562</v>
      </c>
      <c r="H53" s="30"/>
    </row>
    <row r="54" spans="1:8" x14ac:dyDescent="0.3">
      <c r="A54" s="143" t="s">
        <v>96</v>
      </c>
      <c r="B54" s="30"/>
      <c r="C54" s="41"/>
      <c r="D54" s="45"/>
      <c r="E54" s="43"/>
      <c r="F54" s="43"/>
      <c r="G54" s="41">
        <f ca="1">SUM([0]!Areas_SG1)</f>
        <v>71.276501375382622</v>
      </c>
      <c r="H54" s="7"/>
    </row>
    <row r="55" spans="1:8" x14ac:dyDescent="0.3">
      <c r="A55" s="143" t="s">
        <v>98</v>
      </c>
      <c r="B55" s="31"/>
      <c r="C55" s="41"/>
      <c r="D55" s="45"/>
      <c r="E55" s="43"/>
      <c r="F55" s="43"/>
      <c r="G55" s="41">
        <f ca="1">SUM([0]!Areas_SG2)</f>
        <v>100.69587574000002</v>
      </c>
      <c r="H55" s="7"/>
    </row>
    <row r="56" spans="1:8" x14ac:dyDescent="0.3">
      <c r="A56" s="143" t="s">
        <v>99</v>
      </c>
      <c r="B56" s="31"/>
      <c r="C56" s="41"/>
      <c r="D56" s="45"/>
      <c r="E56" s="43"/>
      <c r="F56" s="43"/>
      <c r="G56" s="41">
        <f ca="1">SUM([0]!Areas_SG3)</f>
        <v>100.65260675181696</v>
      </c>
      <c r="H56" s="7"/>
    </row>
    <row r="57" spans="1:8" x14ac:dyDescent="0.3">
      <c r="A57" s="143" t="s">
        <v>100</v>
      </c>
      <c r="C57" s="41"/>
      <c r="D57" s="45"/>
      <c r="E57" s="43"/>
      <c r="F57" s="43"/>
      <c r="G57" s="41">
        <f ca="1">SUM([0]!Areas_SG4)</f>
        <v>0</v>
      </c>
      <c r="H57" s="7"/>
    </row>
    <row r="58" spans="1:8" x14ac:dyDescent="0.3">
      <c r="A58" s="143" t="s">
        <v>101</v>
      </c>
      <c r="C58" s="41"/>
      <c r="D58" s="45"/>
      <c r="E58" s="43"/>
      <c r="F58" s="43"/>
      <c r="G58" s="41">
        <f ca="1">SUM([0]!Areas_SG5)</f>
        <v>48.932587018527279</v>
      </c>
      <c r="H58" s="7"/>
    </row>
    <row r="59" spans="1:8" x14ac:dyDescent="0.3">
      <c r="A59" s="143" t="s">
        <v>102</v>
      </c>
      <c r="C59" s="41"/>
      <c r="D59" s="45"/>
      <c r="E59" s="43"/>
      <c r="F59" s="43"/>
      <c r="G59" s="41">
        <f ca="1">SUM([0]!Areas_SG6)</f>
        <v>0</v>
      </c>
      <c r="H59" s="7"/>
    </row>
    <row r="60" spans="1:8" x14ac:dyDescent="0.3">
      <c r="A60" s="143" t="s">
        <v>53</v>
      </c>
      <c r="C60" s="41"/>
      <c r="D60" s="45"/>
      <c r="E60" s="43"/>
      <c r="F60" s="43"/>
      <c r="G60" s="41">
        <f ca="1">SUM([0]!Areas_RB_SoilCut)</f>
        <v>2.5348910172107644</v>
      </c>
      <c r="H60" s="7"/>
    </row>
    <row r="61" spans="1:8" x14ac:dyDescent="0.3">
      <c r="A61" s="143" t="s">
        <v>54</v>
      </c>
      <c r="C61" s="41"/>
      <c r="D61" s="45"/>
      <c r="E61" s="43"/>
      <c r="F61" s="43"/>
      <c r="G61" s="41">
        <f ca="1">SUM([0]!Areas_RB_RockCut)</f>
        <v>346.24724129927137</v>
      </c>
      <c r="H61" s="7"/>
    </row>
    <row r="62" spans="1:8" x14ac:dyDescent="0.3">
      <c r="A62" s="143" t="s">
        <v>55</v>
      </c>
      <c r="C62" s="41"/>
      <c r="D62" s="45"/>
      <c r="E62" s="43"/>
      <c r="F62" s="43"/>
      <c r="G62" s="41">
        <f ca="1">SUM([0]!Areas_RB_Fill)</f>
        <v>140.89381618683382</v>
      </c>
      <c r="H62" s="7"/>
    </row>
    <row r="63" spans="1:8" x14ac:dyDescent="0.3">
      <c r="A63" s="143" t="s">
        <v>56</v>
      </c>
      <c r="C63" s="41"/>
      <c r="D63" s="45"/>
      <c r="E63" s="43"/>
      <c r="F63" s="43"/>
      <c r="G63" s="41">
        <f ca="1">SUM([0]!Areas_Rock_trimming)</f>
        <v>340.26450114117392</v>
      </c>
      <c r="H63" s="7"/>
    </row>
    <row r="64" spans="1:8" x14ac:dyDescent="0.3">
      <c r="C64" s="41"/>
      <c r="D64" s="45"/>
      <c r="E64" s="43"/>
      <c r="F64" s="43"/>
      <c r="G64" s="41"/>
      <c r="H64" s="30"/>
    </row>
    <row r="65" spans="1:8" x14ac:dyDescent="0.3">
      <c r="C65" s="41"/>
      <c r="D65" s="45"/>
      <c r="E65" s="43"/>
      <c r="F65" s="43"/>
      <c r="G65" s="41"/>
      <c r="H65" s="30"/>
    </row>
    <row r="66" spans="1:8" x14ac:dyDescent="0.3">
      <c r="A66" s="144" t="s">
        <v>57</v>
      </c>
      <c r="C66" s="41"/>
      <c r="D66" s="45"/>
      <c r="E66" s="43"/>
      <c r="F66" s="43"/>
      <c r="G66" s="46" t="s">
        <v>2</v>
      </c>
      <c r="H66" s="30"/>
    </row>
    <row r="67" spans="1:8" x14ac:dyDescent="0.3">
      <c r="A67" s="143" t="s">
        <v>58</v>
      </c>
      <c r="B67" s="31"/>
      <c r="C67" s="41"/>
      <c r="D67" s="45"/>
      <c r="E67" s="43"/>
      <c r="F67" s="43"/>
      <c r="G67" s="41">
        <f ca="1">SUM([0]!Lengths_SD_Soil)</f>
        <v>0</v>
      </c>
    </row>
    <row r="68" spans="1:8" x14ac:dyDescent="0.3">
      <c r="A68" s="143" t="s">
        <v>59</v>
      </c>
      <c r="B68" s="31"/>
      <c r="C68" s="41"/>
      <c r="D68" s="45"/>
      <c r="E68" s="43"/>
      <c r="F68" s="43"/>
      <c r="G68" s="41">
        <f ca="1">SUM([0]!Lengths_SD_Rock)</f>
        <v>0</v>
      </c>
    </row>
    <row r="69" spans="1:8" x14ac:dyDescent="0.3">
      <c r="A69" s="40"/>
      <c r="B69" s="31"/>
      <c r="C69" s="41"/>
      <c r="D69" s="45"/>
      <c r="E69" s="43"/>
      <c r="F69" s="43"/>
      <c r="G69" s="41"/>
    </row>
    <row r="70" spans="1:8" x14ac:dyDescent="0.3">
      <c r="A70" s="40"/>
      <c r="B70" s="31"/>
      <c r="C70" s="41"/>
      <c r="D70" s="45"/>
      <c r="E70" s="43"/>
      <c r="F70" s="43"/>
      <c r="G70" s="41"/>
    </row>
    <row r="71" spans="1:8" x14ac:dyDescent="0.3">
      <c r="A71" s="35" t="s">
        <v>56</v>
      </c>
      <c r="C71" s="41"/>
      <c r="D71" s="45"/>
      <c r="E71" s="43"/>
      <c r="F71" s="43"/>
      <c r="G71" s="46" t="s">
        <v>1</v>
      </c>
      <c r="H71" s="30"/>
    </row>
    <row r="72" spans="1:8" x14ac:dyDescent="0.3">
      <c r="A72" s="40" t="s">
        <v>65</v>
      </c>
      <c r="B72" s="31"/>
      <c r="C72" s="41"/>
      <c r="D72" s="45"/>
      <c r="E72" s="43"/>
      <c r="F72" s="43"/>
      <c r="G72" s="41">
        <f ca="1">SUM(Flåsprengning!Lengths_SD_Soil)</f>
        <v>340.26450114117404</v>
      </c>
    </row>
    <row r="73" spans="1:8" x14ac:dyDescent="0.3">
      <c r="A73" s="40" t="s">
        <v>68</v>
      </c>
      <c r="B73" s="31"/>
      <c r="C73" s="41"/>
      <c r="D73" s="45"/>
      <c r="E73" s="43"/>
      <c r="F73" s="43"/>
      <c r="G73" s="41">
        <f ca="1">SUM(Flåsprengning!Lengths_SD_Rock)</f>
        <v>132.91703962556488</v>
      </c>
    </row>
    <row r="74" spans="1:8" x14ac:dyDescent="0.3">
      <c r="A74" s="40" t="s">
        <v>69</v>
      </c>
      <c r="B74" s="31"/>
      <c r="C74" s="41"/>
      <c r="D74" s="45"/>
      <c r="E74" s="43"/>
      <c r="F74" s="43"/>
      <c r="G74" s="41">
        <f ca="1">SUM(Flåsprengning!Lengths_CD_Fill)</f>
        <v>340.26450114117404</v>
      </c>
    </row>
    <row r="75" spans="1:8" x14ac:dyDescent="0.3">
      <c r="G75" s="47"/>
    </row>
    <row r="76" spans="1:8" x14ac:dyDescent="0.3">
      <c r="G76" s="47"/>
    </row>
    <row r="77" spans="1:8" x14ac:dyDescent="0.3">
      <c r="G77" s="47"/>
    </row>
    <row r="78" spans="1:8" x14ac:dyDescent="0.3">
      <c r="G78" s="47"/>
    </row>
    <row r="79" spans="1:8" x14ac:dyDescent="0.3">
      <c r="G79" s="47"/>
    </row>
    <row r="80" spans="1:8" x14ac:dyDescent="0.3">
      <c r="G80" s="47"/>
    </row>
    <row r="81" spans="7:7" x14ac:dyDescent="0.3">
      <c r="G81" s="47"/>
    </row>
    <row r="82" spans="7:7" x14ac:dyDescent="0.3">
      <c r="G82" s="47"/>
    </row>
    <row r="83" spans="7:7" x14ac:dyDescent="0.3">
      <c r="G83" s="47"/>
    </row>
    <row r="84" spans="7:7" x14ac:dyDescent="0.3">
      <c r="G84" s="47"/>
    </row>
    <row r="85" spans="7:7" x14ac:dyDescent="0.3">
      <c r="G85" s="47"/>
    </row>
    <row r="86" spans="7:7" x14ac:dyDescent="0.3">
      <c r="G86" s="47"/>
    </row>
    <row r="87" spans="7:7" x14ac:dyDescent="0.3">
      <c r="G87" s="47"/>
    </row>
    <row r="88" spans="7:7" x14ac:dyDescent="0.3">
      <c r="G88" s="47"/>
    </row>
    <row r="89" spans="7:7" x14ac:dyDescent="0.3">
      <c r="G89" s="47"/>
    </row>
    <row r="90" spans="7:7" x14ac:dyDescent="0.3">
      <c r="G90" s="47"/>
    </row>
    <row r="91" spans="7:7" x14ac:dyDescent="0.3">
      <c r="G91" s="47"/>
    </row>
    <row r="92" spans="7:7" x14ac:dyDescent="0.3">
      <c r="G92" s="47"/>
    </row>
    <row r="93" spans="7:7" x14ac:dyDescent="0.3">
      <c r="G93" s="47"/>
    </row>
    <row r="94" spans="7:7" x14ac:dyDescent="0.3">
      <c r="G94" s="47"/>
    </row>
    <row r="95" spans="7:7" x14ac:dyDescent="0.3">
      <c r="G95" s="47"/>
    </row>
  </sheetData>
  <pageMargins left="0.75" right="0.75" top="1" bottom="1" header="0" footer="0"/>
  <pageSetup scale="66" fitToHeight="0" orientation="portrait" r:id="rId1"/>
  <headerFooter alignWithMargins="0"/>
  <colBreaks count="1" manualBreakCount="1">
    <brk id="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topLeftCell="A12" workbookViewId="0">
      <selection activeCell="A2" sqref="A2"/>
    </sheetView>
  </sheetViews>
  <sheetFormatPr baseColWidth="10" defaultColWidth="11.6328125" defaultRowHeight="12" x14ac:dyDescent="0.3"/>
  <cols>
    <col min="1" max="1" width="15.7265625" style="74" customWidth="1"/>
    <col min="2" max="2" width="12.7265625" style="76" customWidth="1"/>
    <col min="3" max="3" width="12.81640625" style="74" customWidth="1"/>
    <col min="4" max="4" width="12.36328125" style="74" customWidth="1"/>
    <col min="5" max="5" width="11.6328125" style="51" customWidth="1"/>
    <col min="6" max="6" width="12.7265625" style="74" customWidth="1"/>
    <col min="7" max="7" width="13.08984375" style="76" customWidth="1"/>
    <col min="8" max="8" width="11.6328125" style="76" customWidth="1"/>
    <col min="9" max="9" width="11.6328125" style="74" customWidth="1"/>
    <col min="10" max="10" width="11.6328125" style="51" customWidth="1"/>
    <col min="11" max="11" width="13" style="74" customWidth="1"/>
    <col min="12" max="12" width="15.7265625" style="74" customWidth="1"/>
    <col min="13" max="13" width="15.81640625" style="51" bestFit="1" customWidth="1"/>
    <col min="14" max="14" width="1.81640625" style="31" bestFit="1" customWidth="1"/>
    <col min="15" max="15" width="15.26953125" style="51" customWidth="1"/>
    <col min="16" max="16" width="14.6328125" style="51" customWidth="1"/>
    <col min="17" max="17" width="13.7265625" style="51" customWidth="1"/>
    <col min="18" max="18" width="11.6328125" style="51" customWidth="1"/>
    <col min="19" max="19" width="16" style="51" customWidth="1"/>
    <col min="20" max="20" width="11.6328125" style="51" customWidth="1"/>
    <col min="21" max="16384" width="11.6328125" style="51"/>
  </cols>
  <sheetData>
    <row r="1" spans="1:1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  <c r="J1" s="48"/>
      <c r="K1" s="50"/>
      <c r="L1" s="50"/>
      <c r="N1" s="7"/>
    </row>
    <row r="2" spans="1:1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54"/>
      <c r="L2" s="54"/>
      <c r="N2" s="7"/>
    </row>
    <row r="3" spans="1:19" ht="16.149999999999999" customHeight="1" x14ac:dyDescent="0.35">
      <c r="A3" s="153" t="s">
        <v>32</v>
      </c>
      <c r="B3" s="55"/>
      <c r="C3" s="56"/>
      <c r="D3" s="56"/>
      <c r="E3" s="56"/>
      <c r="F3" s="56"/>
      <c r="G3" s="56"/>
      <c r="H3" s="56"/>
      <c r="I3" s="56"/>
      <c r="J3" s="56"/>
      <c r="K3" s="57"/>
      <c r="L3" s="57"/>
      <c r="N3" s="7"/>
    </row>
    <row r="4" spans="1:19" ht="16.149999999999999" customHeight="1" x14ac:dyDescent="0.35">
      <c r="A4" s="55" t="s">
        <v>8</v>
      </c>
      <c r="B4" s="55" t="str">
        <f>Sammendrag!B4</f>
        <v>Veg 2</v>
      </c>
      <c r="C4" s="56"/>
      <c r="D4" s="56"/>
      <c r="E4" s="56"/>
      <c r="F4" s="56"/>
      <c r="G4" s="56"/>
      <c r="H4" s="56"/>
      <c r="I4" s="56"/>
      <c r="J4" s="56"/>
      <c r="K4" s="57"/>
      <c r="L4" s="57"/>
      <c r="M4" s="132" t="s">
        <v>97</v>
      </c>
      <c r="N4" s="7">
        <v>1</v>
      </c>
    </row>
    <row r="5" spans="1:1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1.1000000000000001</v>
      </c>
      <c r="I5" s="56"/>
      <c r="J5" s="56"/>
      <c r="K5" s="56"/>
      <c r="L5" s="56"/>
      <c r="M5" s="132" t="s">
        <v>3</v>
      </c>
      <c r="N5" s="31">
        <v>1</v>
      </c>
    </row>
    <row r="6" spans="1:1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171.345</v>
      </c>
      <c r="I6" s="56"/>
      <c r="J6" s="56"/>
      <c r="K6" s="56"/>
      <c r="L6" s="56"/>
      <c r="M6" s="132" t="s">
        <v>4</v>
      </c>
      <c r="N6" s="31">
        <v>1</v>
      </c>
    </row>
    <row r="7" spans="1:1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5/8/2020 1:05:25 PM</v>
      </c>
      <c r="I7" s="56"/>
      <c r="J7" s="56"/>
      <c r="K7" s="56"/>
      <c r="L7" s="56"/>
      <c r="M7" s="132" t="s">
        <v>5</v>
      </c>
      <c r="N7" s="31">
        <v>1</v>
      </c>
    </row>
    <row r="8" spans="1:1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9" ht="15" customHeight="1" x14ac:dyDescent="0.3">
      <c r="A9" s="44"/>
      <c r="B9" s="44"/>
      <c r="C9" s="44"/>
      <c r="D9" s="19"/>
      <c r="E9" s="44"/>
      <c r="F9" s="44"/>
      <c r="G9" s="19"/>
      <c r="H9" s="19"/>
      <c r="I9" s="19"/>
      <c r="J9" s="19"/>
      <c r="K9" s="19"/>
      <c r="L9" s="19"/>
    </row>
    <row r="10" spans="1:19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59"/>
      <c r="L10" s="59"/>
    </row>
    <row r="11" spans="1:19" x14ac:dyDescent="0.3">
      <c r="A11" s="60"/>
      <c r="B11" s="61"/>
      <c r="C11" s="61"/>
      <c r="D11" s="61"/>
      <c r="E11" s="62"/>
      <c r="F11" s="61"/>
      <c r="G11" s="61"/>
      <c r="H11" s="61"/>
      <c r="I11" s="63"/>
      <c r="J11" s="19"/>
      <c r="K11" s="64"/>
      <c r="L11" s="64"/>
      <c r="M11" s="65"/>
    </row>
    <row r="12" spans="1:19" ht="39.65" customHeight="1" thickBot="1" x14ac:dyDescent="0.35">
      <c r="A12" s="66" t="s">
        <v>25</v>
      </c>
      <c r="B12" s="148" t="s">
        <v>71</v>
      </c>
      <c r="C12" s="148" t="s">
        <v>72</v>
      </c>
      <c r="D12" s="148" t="s">
        <v>73</v>
      </c>
      <c r="E12" s="148" t="s">
        <v>74</v>
      </c>
      <c r="F12" s="148" t="s">
        <v>75</v>
      </c>
      <c r="G12" s="148" t="s">
        <v>76</v>
      </c>
      <c r="H12" s="148" t="s">
        <v>77</v>
      </c>
      <c r="I12" s="149" t="s">
        <v>78</v>
      </c>
      <c r="J12" s="19"/>
      <c r="K12" s="154" t="s">
        <v>79</v>
      </c>
      <c r="L12" s="154" t="s">
        <v>80</v>
      </c>
      <c r="M12" s="68"/>
      <c r="N12" s="131"/>
      <c r="O12" s="68"/>
      <c r="P12" s="68"/>
      <c r="Q12" s="68"/>
      <c r="R12" s="68"/>
      <c r="S12" s="68"/>
    </row>
    <row r="13" spans="1:19" ht="16.149999999999999" customHeight="1" thickTop="1" x14ac:dyDescent="0.3">
      <c r="A13" s="69" t="s">
        <v>26</v>
      </c>
      <c r="B13" s="59">
        <f ca="1">SUM([0]!Lev_SoilCut)</f>
        <v>0</v>
      </c>
      <c r="C13" s="70">
        <f ca="1">SUM([0]!Lev_RockCut)</f>
        <v>132.91703962556497</v>
      </c>
      <c r="D13" s="70">
        <f ca="1">SUM([0]!Lev_DeepBlasting)</f>
        <v>0</v>
      </c>
      <c r="E13" s="71">
        <f ca="1">SUM([0]!Lev_Fill)</f>
        <v>43.634803772832342</v>
      </c>
      <c r="F13" s="59">
        <f ca="1">SUM([0]!Lev_P_SoilCut)</f>
        <v>0</v>
      </c>
      <c r="G13" s="70">
        <f ca="1">SUM([0]!Lev_P_RockCut)</f>
        <v>132.91703962556497</v>
      </c>
      <c r="H13" s="70">
        <f ca="1">SUM([0]!Lev_P_DeepBlasting)</f>
        <v>0</v>
      </c>
      <c r="I13" s="71">
        <f ca="1">SUM([0]!Lev_P_Fill)</f>
        <v>43.634803772832342</v>
      </c>
      <c r="J13" s="72"/>
      <c r="K13" s="70">
        <f ca="1">SUM([0]!Mass_Profile)</f>
        <v>89.28223585273264</v>
      </c>
      <c r="L13" s="73"/>
      <c r="M13" s="68"/>
      <c r="N13" s="131"/>
      <c r="O13" s="68"/>
    </row>
    <row r="14" spans="1:19" x14ac:dyDescent="0.3">
      <c r="A14" s="74">
        <v>1.1000000000000001</v>
      </c>
      <c r="B14" s="75">
        <v>0</v>
      </c>
      <c r="C14" s="74">
        <v>0.22602</v>
      </c>
      <c r="D14" s="74">
        <v>0</v>
      </c>
      <c r="E14" s="51">
        <v>22.339754729056299</v>
      </c>
      <c r="F14" s="74">
        <f t="shared" ref="F14:F32" si="0">B14*N$4</f>
        <v>0</v>
      </c>
      <c r="G14" s="76">
        <f t="shared" ref="G14:G32" si="1">C14*N$5</f>
        <v>0.22602</v>
      </c>
      <c r="H14" s="76">
        <f t="shared" ref="H14:H32" si="2">D14*N$6</f>
        <v>0</v>
      </c>
      <c r="I14" s="74">
        <f t="shared" ref="I14:I32" si="3">E14*N$7</f>
        <v>22.339754729056299</v>
      </c>
      <c r="K14" s="74">
        <f t="shared" ref="K14:K32" si="4">F14+G14+H14-I14</f>
        <v>-22.113734729056301</v>
      </c>
      <c r="L14" s="74">
        <f t="shared" ref="L14:L32" si="5">K14+L13</f>
        <v>-22.113734729056301</v>
      </c>
    </row>
    <row r="15" spans="1:19" x14ac:dyDescent="0.3">
      <c r="A15" s="74">
        <v>10</v>
      </c>
      <c r="B15" s="75">
        <v>0</v>
      </c>
      <c r="C15" s="74">
        <v>0</v>
      </c>
      <c r="D15" s="74">
        <v>0</v>
      </c>
      <c r="E15" s="51">
        <v>20.370889816839</v>
      </c>
      <c r="F15" s="74">
        <f t="shared" si="0"/>
        <v>0</v>
      </c>
      <c r="G15" s="76">
        <f t="shared" si="1"/>
        <v>0</v>
      </c>
      <c r="H15" s="76">
        <f t="shared" si="2"/>
        <v>0</v>
      </c>
      <c r="I15" s="74">
        <f t="shared" si="3"/>
        <v>20.370889816839</v>
      </c>
      <c r="K15" s="74">
        <f t="shared" si="4"/>
        <v>-20.370889816839</v>
      </c>
      <c r="L15" s="74">
        <f t="shared" si="5"/>
        <v>-42.484624545895301</v>
      </c>
    </row>
    <row r="16" spans="1:19" x14ac:dyDescent="0.3">
      <c r="A16" s="74">
        <v>20</v>
      </c>
      <c r="B16" s="75">
        <v>0</v>
      </c>
      <c r="C16" s="74">
        <v>1.3538286966520601</v>
      </c>
      <c r="D16" s="74">
        <v>0</v>
      </c>
      <c r="E16" s="51">
        <v>0.89958922693704402</v>
      </c>
      <c r="F16" s="74">
        <f t="shared" si="0"/>
        <v>0</v>
      </c>
      <c r="G16" s="76">
        <f t="shared" si="1"/>
        <v>1.3538286966520601</v>
      </c>
      <c r="H16" s="76">
        <f t="shared" si="2"/>
        <v>0</v>
      </c>
      <c r="I16" s="74">
        <f t="shared" si="3"/>
        <v>0.89958922693704402</v>
      </c>
      <c r="K16" s="74">
        <f t="shared" si="4"/>
        <v>0.45423946971501605</v>
      </c>
      <c r="L16" s="74">
        <f t="shared" si="5"/>
        <v>-42.030385076180288</v>
      </c>
    </row>
    <row r="17" spans="1:12" x14ac:dyDescent="0.3">
      <c r="A17" s="74">
        <v>30</v>
      </c>
      <c r="B17" s="75">
        <v>0</v>
      </c>
      <c r="C17" s="74">
        <v>10.1314818240458</v>
      </c>
      <c r="D17" s="74">
        <v>0</v>
      </c>
      <c r="E17" s="51">
        <v>0</v>
      </c>
      <c r="F17" s="74">
        <f t="shared" si="0"/>
        <v>0</v>
      </c>
      <c r="G17" s="76">
        <f t="shared" si="1"/>
        <v>10.1314818240458</v>
      </c>
      <c r="H17" s="76">
        <f t="shared" si="2"/>
        <v>0</v>
      </c>
      <c r="I17" s="74">
        <f t="shared" si="3"/>
        <v>0</v>
      </c>
      <c r="K17" s="74">
        <f t="shared" si="4"/>
        <v>10.1314818240458</v>
      </c>
      <c r="L17" s="74">
        <f t="shared" si="5"/>
        <v>-31.898903252134488</v>
      </c>
    </row>
    <row r="18" spans="1:12" x14ac:dyDescent="0.3">
      <c r="A18" s="74">
        <v>40</v>
      </c>
      <c r="B18" s="75">
        <v>0</v>
      </c>
      <c r="C18" s="74">
        <v>14.9102711117316</v>
      </c>
      <c r="D18" s="74">
        <v>0</v>
      </c>
      <c r="E18" s="51">
        <v>0</v>
      </c>
      <c r="F18" s="74">
        <f t="shared" si="0"/>
        <v>0</v>
      </c>
      <c r="G18" s="76">
        <f t="shared" si="1"/>
        <v>14.9102711117316</v>
      </c>
      <c r="H18" s="76">
        <f t="shared" si="2"/>
        <v>0</v>
      </c>
      <c r="I18" s="74">
        <f t="shared" si="3"/>
        <v>0</v>
      </c>
      <c r="K18" s="74">
        <f t="shared" si="4"/>
        <v>14.9102711117316</v>
      </c>
      <c r="L18" s="74">
        <f t="shared" si="5"/>
        <v>-16.988632140402888</v>
      </c>
    </row>
    <row r="19" spans="1:12" x14ac:dyDescent="0.3">
      <c r="A19" s="74">
        <v>50</v>
      </c>
      <c r="B19" s="75">
        <v>0</v>
      </c>
      <c r="C19" s="74">
        <v>2.4080857672948599</v>
      </c>
      <c r="D19" s="74">
        <v>0</v>
      </c>
      <c r="E19" s="51">
        <v>2.4570000000000002E-2</v>
      </c>
      <c r="F19" s="74">
        <f t="shared" si="0"/>
        <v>0</v>
      </c>
      <c r="G19" s="76">
        <f t="shared" si="1"/>
        <v>2.4080857672948599</v>
      </c>
      <c r="H19" s="76">
        <f t="shared" si="2"/>
        <v>0</v>
      </c>
      <c r="I19" s="74">
        <f t="shared" si="3"/>
        <v>2.4570000000000002E-2</v>
      </c>
      <c r="K19" s="74">
        <f t="shared" si="4"/>
        <v>2.3835157672948597</v>
      </c>
      <c r="L19" s="74">
        <f t="shared" si="5"/>
        <v>-14.605116373108029</v>
      </c>
    </row>
    <row r="20" spans="1:12" x14ac:dyDescent="0.3">
      <c r="A20" s="74">
        <v>60</v>
      </c>
      <c r="B20" s="75">
        <v>0</v>
      </c>
      <c r="C20" s="74">
        <v>2.2515179225956001</v>
      </c>
      <c r="D20" s="74">
        <v>0</v>
      </c>
      <c r="E20" s="51">
        <v>0</v>
      </c>
      <c r="F20" s="74">
        <f t="shared" si="0"/>
        <v>0</v>
      </c>
      <c r="G20" s="76">
        <f t="shared" si="1"/>
        <v>2.2515179225956001</v>
      </c>
      <c r="H20" s="76">
        <f t="shared" si="2"/>
        <v>0</v>
      </c>
      <c r="I20" s="74">
        <f t="shared" si="3"/>
        <v>0</v>
      </c>
      <c r="K20" s="74">
        <f t="shared" si="4"/>
        <v>2.2515179225956001</v>
      </c>
      <c r="L20" s="74">
        <f t="shared" si="5"/>
        <v>-12.353598450512429</v>
      </c>
    </row>
    <row r="21" spans="1:12" x14ac:dyDescent="0.3">
      <c r="A21" s="74">
        <v>70</v>
      </c>
      <c r="B21" s="75">
        <v>0</v>
      </c>
      <c r="C21" s="74">
        <v>8.0662533526836597</v>
      </c>
      <c r="D21" s="74">
        <v>0</v>
      </c>
      <c r="E21" s="51">
        <v>0</v>
      </c>
      <c r="F21" s="74">
        <f t="shared" si="0"/>
        <v>0</v>
      </c>
      <c r="G21" s="76">
        <f t="shared" si="1"/>
        <v>8.0662533526836597</v>
      </c>
      <c r="H21" s="76">
        <f t="shared" si="2"/>
        <v>0</v>
      </c>
      <c r="I21" s="74">
        <f t="shared" si="3"/>
        <v>0</v>
      </c>
      <c r="K21" s="74">
        <f t="shared" si="4"/>
        <v>8.0662533526836597</v>
      </c>
      <c r="L21" s="74">
        <f t="shared" si="5"/>
        <v>-4.2873450978287693</v>
      </c>
    </row>
    <row r="22" spans="1:12" x14ac:dyDescent="0.3">
      <c r="A22" s="74">
        <v>80</v>
      </c>
      <c r="B22" s="75">
        <v>0</v>
      </c>
      <c r="C22" s="74">
        <v>11.4596079340934</v>
      </c>
      <c r="D22" s="74">
        <v>0</v>
      </c>
      <c r="E22" s="51">
        <v>0</v>
      </c>
      <c r="F22" s="74">
        <f t="shared" si="0"/>
        <v>0</v>
      </c>
      <c r="G22" s="76">
        <f t="shared" si="1"/>
        <v>11.4596079340934</v>
      </c>
      <c r="H22" s="76">
        <f t="shared" si="2"/>
        <v>0</v>
      </c>
      <c r="I22" s="74">
        <f t="shared" si="3"/>
        <v>0</v>
      </c>
      <c r="K22" s="74">
        <f t="shared" si="4"/>
        <v>11.4596079340934</v>
      </c>
      <c r="L22" s="74">
        <f t="shared" si="5"/>
        <v>7.1722628362646308</v>
      </c>
    </row>
    <row r="23" spans="1:12" x14ac:dyDescent="0.3">
      <c r="A23" s="74">
        <v>90</v>
      </c>
      <c r="B23" s="75">
        <v>0</v>
      </c>
      <c r="C23" s="74">
        <v>10.1583077050217</v>
      </c>
      <c r="D23" s="74">
        <v>0</v>
      </c>
      <c r="E23" s="51">
        <v>0</v>
      </c>
      <c r="F23" s="74">
        <f t="shared" si="0"/>
        <v>0</v>
      </c>
      <c r="G23" s="76">
        <f t="shared" si="1"/>
        <v>10.1583077050217</v>
      </c>
      <c r="H23" s="76">
        <f t="shared" si="2"/>
        <v>0</v>
      </c>
      <c r="I23" s="74">
        <f t="shared" si="3"/>
        <v>0</v>
      </c>
      <c r="K23" s="74">
        <f t="shared" si="4"/>
        <v>10.1583077050217</v>
      </c>
      <c r="L23" s="74">
        <f t="shared" si="5"/>
        <v>17.330570541286331</v>
      </c>
    </row>
    <row r="24" spans="1:12" x14ac:dyDescent="0.3">
      <c r="A24" s="74">
        <v>100</v>
      </c>
      <c r="B24" s="75">
        <v>0</v>
      </c>
      <c r="C24" s="74">
        <v>8.3256113279059392</v>
      </c>
      <c r="D24" s="74">
        <v>0</v>
      </c>
      <c r="E24" s="51">
        <v>0</v>
      </c>
      <c r="F24" s="74">
        <f t="shared" si="0"/>
        <v>0</v>
      </c>
      <c r="G24" s="76">
        <f t="shared" si="1"/>
        <v>8.3256113279059392</v>
      </c>
      <c r="H24" s="76">
        <f t="shared" si="2"/>
        <v>0</v>
      </c>
      <c r="I24" s="74">
        <f t="shared" si="3"/>
        <v>0</v>
      </c>
      <c r="K24" s="74">
        <f t="shared" si="4"/>
        <v>8.3256113279059392</v>
      </c>
      <c r="L24" s="74">
        <f t="shared" si="5"/>
        <v>25.65618186919227</v>
      </c>
    </row>
    <row r="25" spans="1:12" x14ac:dyDescent="0.3">
      <c r="A25" s="74">
        <v>110</v>
      </c>
      <c r="B25" s="75">
        <v>0</v>
      </c>
      <c r="C25" s="74">
        <v>8.3077618455673701</v>
      </c>
      <c r="D25" s="74">
        <v>0</v>
      </c>
      <c r="E25" s="51">
        <v>0</v>
      </c>
      <c r="F25" s="74">
        <f t="shared" si="0"/>
        <v>0</v>
      </c>
      <c r="G25" s="76">
        <f t="shared" si="1"/>
        <v>8.3077618455673701</v>
      </c>
      <c r="H25" s="76">
        <f t="shared" si="2"/>
        <v>0</v>
      </c>
      <c r="I25" s="74">
        <f t="shared" si="3"/>
        <v>0</v>
      </c>
      <c r="K25" s="74">
        <f t="shared" si="4"/>
        <v>8.3077618455673701</v>
      </c>
      <c r="L25" s="74">
        <f t="shared" si="5"/>
        <v>33.963943714759637</v>
      </c>
    </row>
    <row r="26" spans="1:12" x14ac:dyDescent="0.3">
      <c r="A26" s="74">
        <v>120</v>
      </c>
      <c r="B26" s="75">
        <v>0</v>
      </c>
      <c r="C26" s="74">
        <v>9.1676408438487105</v>
      </c>
      <c r="D26" s="74">
        <v>0</v>
      </c>
      <c r="E26" s="51">
        <v>0</v>
      </c>
      <c r="F26" s="74">
        <f t="shared" si="0"/>
        <v>0</v>
      </c>
      <c r="G26" s="76">
        <f t="shared" si="1"/>
        <v>9.1676408438487105</v>
      </c>
      <c r="H26" s="76">
        <f t="shared" si="2"/>
        <v>0</v>
      </c>
      <c r="I26" s="74">
        <f t="shared" si="3"/>
        <v>0</v>
      </c>
      <c r="K26" s="74">
        <f t="shared" si="4"/>
        <v>9.1676408438487105</v>
      </c>
      <c r="L26" s="74">
        <f t="shared" si="5"/>
        <v>43.131584558608346</v>
      </c>
    </row>
    <row r="27" spans="1:12" x14ac:dyDescent="0.3">
      <c r="A27" s="74">
        <v>130</v>
      </c>
      <c r="B27" s="75">
        <v>0</v>
      </c>
      <c r="C27" s="74">
        <v>10.016303818030099</v>
      </c>
      <c r="D27" s="74">
        <v>0</v>
      </c>
      <c r="E27" s="51">
        <v>0</v>
      </c>
      <c r="F27" s="74">
        <f t="shared" si="0"/>
        <v>0</v>
      </c>
      <c r="G27" s="76">
        <f t="shared" si="1"/>
        <v>10.016303818030099</v>
      </c>
      <c r="H27" s="76">
        <f t="shared" si="2"/>
        <v>0</v>
      </c>
      <c r="I27" s="74">
        <f t="shared" si="3"/>
        <v>0</v>
      </c>
      <c r="K27" s="74">
        <f t="shared" si="4"/>
        <v>10.016303818030099</v>
      </c>
      <c r="L27" s="74">
        <f t="shared" si="5"/>
        <v>53.147888376638448</v>
      </c>
    </row>
    <row r="28" spans="1:12" x14ac:dyDescent="0.3">
      <c r="A28" s="74">
        <v>140</v>
      </c>
      <c r="B28" s="75">
        <v>0</v>
      </c>
      <c r="C28" s="74">
        <v>10.6126450049056</v>
      </c>
      <c r="D28" s="74">
        <v>0</v>
      </c>
      <c r="E28" s="51">
        <v>0</v>
      </c>
      <c r="F28" s="74">
        <f t="shared" si="0"/>
        <v>0</v>
      </c>
      <c r="G28" s="76">
        <f t="shared" si="1"/>
        <v>10.6126450049056</v>
      </c>
      <c r="H28" s="76">
        <f t="shared" si="2"/>
        <v>0</v>
      </c>
      <c r="I28" s="74">
        <f t="shared" si="3"/>
        <v>0</v>
      </c>
      <c r="K28" s="74">
        <f t="shared" si="4"/>
        <v>10.6126450049056</v>
      </c>
      <c r="L28" s="74">
        <f t="shared" si="5"/>
        <v>63.76053338154405</v>
      </c>
    </row>
    <row r="29" spans="1:12" x14ac:dyDescent="0.3">
      <c r="A29" s="74">
        <v>150</v>
      </c>
      <c r="B29" s="75">
        <v>0</v>
      </c>
      <c r="C29" s="74">
        <v>10.9004664937765</v>
      </c>
      <c r="D29" s="74">
        <v>0</v>
      </c>
      <c r="E29" s="51">
        <v>0</v>
      </c>
      <c r="F29" s="74">
        <f t="shared" si="0"/>
        <v>0</v>
      </c>
      <c r="G29" s="76">
        <f t="shared" si="1"/>
        <v>10.9004664937765</v>
      </c>
      <c r="H29" s="76">
        <f t="shared" si="2"/>
        <v>0</v>
      </c>
      <c r="I29" s="74">
        <f t="shared" si="3"/>
        <v>0</v>
      </c>
      <c r="K29" s="74">
        <f t="shared" si="4"/>
        <v>10.9004664937765</v>
      </c>
      <c r="L29" s="74">
        <f t="shared" si="5"/>
        <v>74.660999875320556</v>
      </c>
    </row>
    <row r="30" spans="1:12" x14ac:dyDescent="0.3">
      <c r="A30" s="74">
        <v>160</v>
      </c>
      <c r="B30" s="75">
        <v>0</v>
      </c>
      <c r="C30" s="74">
        <v>9.0806361227643002</v>
      </c>
      <c r="D30" s="74">
        <v>0</v>
      </c>
      <c r="E30" s="51">
        <v>0</v>
      </c>
      <c r="F30" s="74">
        <f t="shared" si="0"/>
        <v>0</v>
      </c>
      <c r="G30" s="76">
        <f t="shared" si="1"/>
        <v>9.0806361227643002</v>
      </c>
      <c r="H30" s="76">
        <f t="shared" si="2"/>
        <v>0</v>
      </c>
      <c r="I30" s="74">
        <f t="shared" si="3"/>
        <v>0</v>
      </c>
      <c r="K30" s="74">
        <f t="shared" si="4"/>
        <v>9.0806361227643002</v>
      </c>
      <c r="L30" s="74">
        <f t="shared" si="5"/>
        <v>83.74163599808486</v>
      </c>
    </row>
    <row r="31" spans="1:12" x14ac:dyDescent="0.3">
      <c r="A31" s="74">
        <v>170</v>
      </c>
      <c r="B31" s="75">
        <v>0</v>
      </c>
      <c r="C31" s="74">
        <v>4.9583526983695503</v>
      </c>
      <c r="D31" s="74">
        <v>0</v>
      </c>
      <c r="E31" s="51">
        <v>0</v>
      </c>
      <c r="F31" s="74">
        <f t="shared" si="0"/>
        <v>0</v>
      </c>
      <c r="G31" s="76">
        <f t="shared" si="1"/>
        <v>4.9583526983695503</v>
      </c>
      <c r="H31" s="76">
        <f t="shared" si="2"/>
        <v>0</v>
      </c>
      <c r="I31" s="74">
        <f t="shared" si="3"/>
        <v>0</v>
      </c>
      <c r="K31" s="74">
        <f t="shared" si="4"/>
        <v>4.9583526983695503</v>
      </c>
      <c r="L31" s="74">
        <f t="shared" si="5"/>
        <v>88.699988696454412</v>
      </c>
    </row>
    <row r="32" spans="1:12" x14ac:dyDescent="0.3">
      <c r="A32" s="74">
        <v>171.345</v>
      </c>
      <c r="B32" s="75">
        <v>0</v>
      </c>
      <c r="C32" s="74">
        <v>0.58224715627822199</v>
      </c>
      <c r="D32" s="74">
        <v>0</v>
      </c>
      <c r="E32" s="51">
        <v>0</v>
      </c>
      <c r="F32" s="74">
        <f t="shared" si="0"/>
        <v>0</v>
      </c>
      <c r="G32" s="76">
        <f t="shared" si="1"/>
        <v>0.58224715627822199</v>
      </c>
      <c r="H32" s="76">
        <f t="shared" si="2"/>
        <v>0</v>
      </c>
      <c r="I32" s="74">
        <f t="shared" si="3"/>
        <v>0</v>
      </c>
      <c r="K32" s="74">
        <f t="shared" si="4"/>
        <v>0.58224715627822199</v>
      </c>
      <c r="L32" s="74">
        <f t="shared" si="5"/>
        <v>89.28223585273264</v>
      </c>
    </row>
  </sheetData>
  <conditionalFormatting sqref="B12:C12 F12">
    <cfRule type="cellIs" dxfId="15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2"/>
  <sheetViews>
    <sheetView workbookViewId="0">
      <selection activeCell="A2" sqref="A2"/>
    </sheetView>
  </sheetViews>
  <sheetFormatPr baseColWidth="10" defaultColWidth="11.6328125" defaultRowHeight="13" x14ac:dyDescent="0.3"/>
  <cols>
    <col min="1" max="1" width="15.7265625" style="74" customWidth="1"/>
    <col min="2" max="2" width="12.7265625" style="76" customWidth="1"/>
    <col min="3" max="3" width="12.81640625" style="74" customWidth="1"/>
    <col min="4" max="4" width="11.6328125" style="74" customWidth="1"/>
    <col min="5" max="5" width="11.6328125" style="51" customWidth="1"/>
    <col min="6" max="6" width="12.7265625" style="74" customWidth="1"/>
    <col min="7" max="7" width="12.36328125" style="74" bestFit="1" customWidth="1"/>
    <col min="8" max="8" width="13.7265625" style="51" customWidth="1"/>
    <col min="9" max="9" width="13.7265625" style="74" customWidth="1"/>
    <col min="10" max="10" width="15" style="51" customWidth="1"/>
    <col min="11" max="11" width="11.6328125" style="83" customWidth="1"/>
    <col min="12" max="12" width="11" style="51" customWidth="1"/>
    <col min="13" max="13" width="11.7265625" style="51" customWidth="1"/>
    <col min="14" max="14" width="15" style="51" customWidth="1"/>
    <col min="15" max="15" width="15.26953125" style="51" customWidth="1"/>
    <col min="16" max="16" width="14.6328125" style="51" customWidth="1"/>
    <col min="17" max="17" width="13.7265625" style="51" customWidth="1"/>
    <col min="18" max="18" width="11.6328125" style="51" customWidth="1"/>
    <col min="19" max="19" width="16" style="51" customWidth="1"/>
    <col min="20" max="20" width="11.6328125" style="51" customWidth="1"/>
    <col min="21" max="16384" width="11.6328125" style="51"/>
  </cols>
  <sheetData>
    <row r="1" spans="1:1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  <c r="J1" s="48"/>
      <c r="K1" s="80"/>
    </row>
    <row r="2" spans="1:1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80"/>
    </row>
    <row r="3" spans="1:19" ht="16.149999999999999" customHeight="1" x14ac:dyDescent="0.35">
      <c r="A3" s="153" t="s">
        <v>27</v>
      </c>
      <c r="B3" s="55"/>
      <c r="C3" s="56"/>
      <c r="D3" s="56"/>
      <c r="E3" s="56"/>
      <c r="F3" s="56"/>
      <c r="G3" s="56"/>
      <c r="H3" s="56"/>
      <c r="I3" s="56"/>
      <c r="J3" s="56"/>
      <c r="K3" s="80"/>
    </row>
    <row r="4" spans="1:19" ht="16.149999999999999" customHeight="1" x14ac:dyDescent="0.35">
      <c r="A4" s="55" t="s">
        <v>8</v>
      </c>
      <c r="B4" s="55" t="str">
        <f>Sammendrag!B4</f>
        <v>Veg 2</v>
      </c>
      <c r="C4" s="56"/>
      <c r="D4" s="56"/>
      <c r="E4" s="56"/>
      <c r="F4" s="56"/>
      <c r="G4" s="56"/>
      <c r="H4" s="56"/>
      <c r="I4" s="56"/>
      <c r="J4" s="56"/>
      <c r="K4" s="80"/>
    </row>
    <row r="5" spans="1:1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1.1000000000000001</v>
      </c>
      <c r="I5" s="56"/>
      <c r="J5" s="56"/>
      <c r="K5" s="80"/>
    </row>
    <row r="6" spans="1:1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171.345</v>
      </c>
      <c r="I6" s="56"/>
      <c r="J6" s="56"/>
      <c r="K6" s="80"/>
    </row>
    <row r="7" spans="1:1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5/8/2020 1:05:25 PM</v>
      </c>
      <c r="I7" s="56"/>
      <c r="J7" s="56"/>
      <c r="K7" s="80"/>
    </row>
    <row r="8" spans="1:19" ht="15" customHeight="1" x14ac:dyDescent="0.3">
      <c r="A8" s="56"/>
      <c r="B8" s="56"/>
      <c r="C8" s="56"/>
      <c r="D8" s="56"/>
      <c r="E8" s="56"/>
      <c r="F8" s="56"/>
      <c r="G8" s="56"/>
      <c r="H8" s="56"/>
      <c r="I8" s="56"/>
      <c r="J8" s="56"/>
      <c r="K8" s="80"/>
    </row>
    <row r="9" spans="1:19" ht="15" customHeight="1" x14ac:dyDescent="0.3">
      <c r="A9" s="44"/>
      <c r="B9" s="44"/>
      <c r="C9" s="44"/>
      <c r="D9" s="19"/>
      <c r="E9" s="44"/>
      <c r="F9" s="44"/>
      <c r="G9" s="19"/>
      <c r="H9" s="19"/>
      <c r="I9" s="19"/>
      <c r="J9" s="19"/>
      <c r="K9" s="80"/>
      <c r="L9" s="81"/>
      <c r="M9" s="82"/>
    </row>
    <row r="10" spans="1:19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80"/>
      <c r="L10" s="81"/>
      <c r="M10" s="82"/>
    </row>
    <row r="11" spans="1:19" x14ac:dyDescent="0.3">
      <c r="A11" s="60"/>
      <c r="B11" s="61"/>
      <c r="C11" s="61"/>
      <c r="D11" s="61"/>
      <c r="E11" s="61"/>
      <c r="F11" s="61"/>
      <c r="G11" s="61"/>
      <c r="H11" s="61"/>
      <c r="I11" s="61"/>
      <c r="J11" s="61"/>
      <c r="L11" s="81"/>
      <c r="M11" s="82"/>
    </row>
    <row r="12" spans="1:19" ht="38.5" customHeight="1" thickBot="1" x14ac:dyDescent="0.35">
      <c r="A12" s="66" t="s">
        <v>25</v>
      </c>
      <c r="B12" s="129" t="s">
        <v>92</v>
      </c>
      <c r="C12" s="67" t="s">
        <v>14</v>
      </c>
      <c r="D12" s="67" t="s">
        <v>15</v>
      </c>
      <c r="E12" s="128" t="s">
        <v>18</v>
      </c>
      <c r="F12" s="129" t="s">
        <v>20</v>
      </c>
      <c r="G12" s="67" t="s">
        <v>21</v>
      </c>
      <c r="H12" s="67" t="s">
        <v>22</v>
      </c>
      <c r="I12" s="129" t="s">
        <v>23</v>
      </c>
      <c r="J12" s="129" t="s">
        <v>24</v>
      </c>
      <c r="L12" s="81"/>
      <c r="M12" s="82"/>
      <c r="O12" s="68"/>
      <c r="P12" s="68"/>
      <c r="Q12" s="68"/>
      <c r="R12" s="68"/>
      <c r="S12" s="68"/>
    </row>
    <row r="13" spans="1:19" ht="16.149999999999999" customHeight="1" thickTop="1" x14ac:dyDescent="0.3">
      <c r="A13" s="69" t="s">
        <v>26</v>
      </c>
      <c r="B13" s="71">
        <f ca="1">SUM([0]!Other_SoftSpot)</f>
        <v>0</v>
      </c>
      <c r="C13" s="71">
        <f ca="1">SUM([0]!Other_TopSoil)</f>
        <v>0</v>
      </c>
      <c r="D13" s="71">
        <f ca="1">SUM([0]!Other_Vegetation)</f>
        <v>0</v>
      </c>
      <c r="E13" s="71">
        <f ca="1">SUM([0]!Other_Sodding)</f>
        <v>0</v>
      </c>
      <c r="F13" s="71">
        <f ca="1">SUM([0]!Other_Landsc_Cut)</f>
        <v>0</v>
      </c>
      <c r="G13" s="71">
        <f ca="1">SUM([0]!Other_Landsc_Fill)</f>
        <v>0</v>
      </c>
      <c r="H13" s="71">
        <f ca="1">SUM([0]!Other_SideEdge_Fill)</f>
        <v>0</v>
      </c>
      <c r="I13" s="71">
        <f ca="1">SUM([0]!Other_Rounding_Cut)</f>
        <v>0</v>
      </c>
      <c r="J13" s="70">
        <f ca="1">SUM([0]!Other_Rounding_Fill)</f>
        <v>0</v>
      </c>
      <c r="L13" s="81"/>
      <c r="M13" s="82"/>
      <c r="O13" s="68"/>
    </row>
    <row r="14" spans="1:19" x14ac:dyDescent="0.3">
      <c r="A14" s="74">
        <v>1.1000000000000001</v>
      </c>
      <c r="B14" s="76">
        <v>0</v>
      </c>
      <c r="C14" s="74">
        <v>0</v>
      </c>
      <c r="D14" s="74">
        <v>0</v>
      </c>
      <c r="E14" s="51">
        <v>0</v>
      </c>
      <c r="F14" s="74">
        <v>0</v>
      </c>
      <c r="G14" s="74">
        <v>0</v>
      </c>
      <c r="H14" s="51">
        <v>0</v>
      </c>
      <c r="I14" s="74">
        <v>0</v>
      </c>
      <c r="J14" s="51">
        <v>0</v>
      </c>
      <c r="L14" s="81"/>
      <c r="M14" s="82"/>
    </row>
    <row r="15" spans="1:19" x14ac:dyDescent="0.3">
      <c r="A15" s="74">
        <v>10</v>
      </c>
      <c r="B15" s="76">
        <v>0</v>
      </c>
      <c r="C15" s="74">
        <v>0</v>
      </c>
      <c r="D15" s="74">
        <v>0</v>
      </c>
      <c r="E15" s="51">
        <v>0</v>
      </c>
      <c r="F15" s="74">
        <v>0</v>
      </c>
      <c r="G15" s="74">
        <v>0</v>
      </c>
      <c r="H15" s="51">
        <v>0</v>
      </c>
      <c r="I15" s="74">
        <v>0</v>
      </c>
      <c r="J15" s="51">
        <v>0</v>
      </c>
      <c r="L15" s="81"/>
      <c r="M15" s="82"/>
    </row>
    <row r="16" spans="1:19" x14ac:dyDescent="0.3">
      <c r="A16" s="74">
        <v>20</v>
      </c>
      <c r="B16" s="76">
        <v>0</v>
      </c>
      <c r="C16" s="74">
        <v>0</v>
      </c>
      <c r="D16" s="74">
        <v>0</v>
      </c>
      <c r="E16" s="51">
        <v>0</v>
      </c>
      <c r="F16" s="74">
        <v>0</v>
      </c>
      <c r="G16" s="74">
        <v>0</v>
      </c>
      <c r="H16" s="51">
        <v>0</v>
      </c>
      <c r="I16" s="74">
        <v>0</v>
      </c>
      <c r="J16" s="51">
        <v>0</v>
      </c>
      <c r="L16" s="81"/>
      <c r="M16" s="82"/>
    </row>
    <row r="17" spans="1:13" x14ac:dyDescent="0.3">
      <c r="A17" s="74">
        <v>30</v>
      </c>
      <c r="B17" s="76">
        <v>0</v>
      </c>
      <c r="C17" s="74">
        <v>0</v>
      </c>
      <c r="D17" s="74">
        <v>0</v>
      </c>
      <c r="E17" s="51">
        <v>0</v>
      </c>
      <c r="F17" s="74">
        <v>0</v>
      </c>
      <c r="G17" s="74">
        <v>0</v>
      </c>
      <c r="H17" s="51">
        <v>0</v>
      </c>
      <c r="I17" s="74">
        <v>0</v>
      </c>
      <c r="J17" s="51">
        <v>0</v>
      </c>
      <c r="L17" s="81"/>
      <c r="M17" s="82"/>
    </row>
    <row r="18" spans="1:13" x14ac:dyDescent="0.3">
      <c r="A18" s="74">
        <v>40</v>
      </c>
      <c r="B18" s="76">
        <v>0</v>
      </c>
      <c r="C18" s="74">
        <v>0</v>
      </c>
      <c r="D18" s="74">
        <v>0</v>
      </c>
      <c r="E18" s="51">
        <v>0</v>
      </c>
      <c r="F18" s="74">
        <v>0</v>
      </c>
      <c r="G18" s="74">
        <v>0</v>
      </c>
      <c r="H18" s="51">
        <v>0</v>
      </c>
      <c r="I18" s="74">
        <v>0</v>
      </c>
      <c r="J18" s="51">
        <v>0</v>
      </c>
    </row>
    <row r="19" spans="1:13" x14ac:dyDescent="0.3">
      <c r="A19" s="74">
        <v>50</v>
      </c>
      <c r="B19" s="76">
        <v>0</v>
      </c>
      <c r="C19" s="74">
        <v>0</v>
      </c>
      <c r="D19" s="74">
        <v>0</v>
      </c>
      <c r="E19" s="51">
        <v>0</v>
      </c>
      <c r="F19" s="74">
        <v>0</v>
      </c>
      <c r="G19" s="74">
        <v>0</v>
      </c>
      <c r="H19" s="51">
        <v>0</v>
      </c>
      <c r="I19" s="74">
        <v>0</v>
      </c>
      <c r="J19" s="51">
        <v>0</v>
      </c>
    </row>
    <row r="20" spans="1:13" x14ac:dyDescent="0.3">
      <c r="A20" s="74">
        <v>60</v>
      </c>
      <c r="B20" s="76">
        <v>0</v>
      </c>
      <c r="C20" s="74">
        <v>0</v>
      </c>
      <c r="D20" s="74">
        <v>0</v>
      </c>
      <c r="E20" s="51">
        <v>0</v>
      </c>
      <c r="F20" s="74">
        <v>0</v>
      </c>
      <c r="G20" s="74">
        <v>0</v>
      </c>
      <c r="H20" s="51">
        <v>0</v>
      </c>
      <c r="I20" s="74">
        <v>0</v>
      </c>
      <c r="J20" s="51">
        <v>0</v>
      </c>
    </row>
    <row r="21" spans="1:13" x14ac:dyDescent="0.3">
      <c r="A21" s="74">
        <v>70</v>
      </c>
      <c r="B21" s="76">
        <v>0</v>
      </c>
      <c r="C21" s="74">
        <v>0</v>
      </c>
      <c r="D21" s="74">
        <v>0</v>
      </c>
      <c r="E21" s="51">
        <v>0</v>
      </c>
      <c r="F21" s="74">
        <v>0</v>
      </c>
      <c r="G21" s="74">
        <v>0</v>
      </c>
      <c r="H21" s="51">
        <v>0</v>
      </c>
      <c r="I21" s="74">
        <v>0</v>
      </c>
      <c r="J21" s="51">
        <v>0</v>
      </c>
    </row>
    <row r="22" spans="1:13" x14ac:dyDescent="0.3">
      <c r="A22" s="74">
        <v>80</v>
      </c>
      <c r="B22" s="76">
        <v>0</v>
      </c>
      <c r="C22" s="74">
        <v>0</v>
      </c>
      <c r="D22" s="74">
        <v>0</v>
      </c>
      <c r="E22" s="51">
        <v>0</v>
      </c>
      <c r="F22" s="74">
        <v>0</v>
      </c>
      <c r="G22" s="74">
        <v>0</v>
      </c>
      <c r="H22" s="51">
        <v>0</v>
      </c>
      <c r="I22" s="74">
        <v>0</v>
      </c>
      <c r="J22" s="51">
        <v>0</v>
      </c>
    </row>
    <row r="23" spans="1:13" x14ac:dyDescent="0.3">
      <c r="A23" s="74">
        <v>90</v>
      </c>
      <c r="B23" s="76">
        <v>0</v>
      </c>
      <c r="C23" s="74">
        <v>0</v>
      </c>
      <c r="D23" s="74">
        <v>0</v>
      </c>
      <c r="E23" s="51">
        <v>0</v>
      </c>
      <c r="F23" s="74">
        <v>0</v>
      </c>
      <c r="G23" s="74">
        <v>0</v>
      </c>
      <c r="H23" s="51">
        <v>0</v>
      </c>
      <c r="I23" s="74">
        <v>0</v>
      </c>
      <c r="J23" s="51">
        <v>0</v>
      </c>
    </row>
    <row r="24" spans="1:13" x14ac:dyDescent="0.3">
      <c r="A24" s="74">
        <v>100</v>
      </c>
      <c r="B24" s="76">
        <v>0</v>
      </c>
      <c r="C24" s="74">
        <v>0</v>
      </c>
      <c r="D24" s="74">
        <v>0</v>
      </c>
      <c r="E24" s="51">
        <v>0</v>
      </c>
      <c r="F24" s="74">
        <v>0</v>
      </c>
      <c r="G24" s="74">
        <v>0</v>
      </c>
      <c r="H24" s="51">
        <v>0</v>
      </c>
      <c r="I24" s="74">
        <v>0</v>
      </c>
      <c r="J24" s="51">
        <v>0</v>
      </c>
    </row>
    <row r="25" spans="1:13" x14ac:dyDescent="0.3">
      <c r="A25" s="74">
        <v>110</v>
      </c>
      <c r="B25" s="76">
        <v>0</v>
      </c>
      <c r="C25" s="74">
        <v>0</v>
      </c>
      <c r="D25" s="74">
        <v>0</v>
      </c>
      <c r="E25" s="51">
        <v>0</v>
      </c>
      <c r="F25" s="74">
        <v>0</v>
      </c>
      <c r="G25" s="74">
        <v>0</v>
      </c>
      <c r="H25" s="51">
        <v>0</v>
      </c>
      <c r="I25" s="74">
        <v>0</v>
      </c>
      <c r="J25" s="51">
        <v>0</v>
      </c>
    </row>
    <row r="26" spans="1:13" x14ac:dyDescent="0.3">
      <c r="A26" s="74">
        <v>120</v>
      </c>
      <c r="B26" s="76">
        <v>0</v>
      </c>
      <c r="C26" s="74">
        <v>0</v>
      </c>
      <c r="D26" s="74">
        <v>0</v>
      </c>
      <c r="E26" s="51">
        <v>0</v>
      </c>
      <c r="F26" s="74">
        <v>0</v>
      </c>
      <c r="G26" s="74">
        <v>0</v>
      </c>
      <c r="H26" s="51">
        <v>0</v>
      </c>
      <c r="I26" s="74">
        <v>0</v>
      </c>
      <c r="J26" s="51">
        <v>0</v>
      </c>
    </row>
    <row r="27" spans="1:13" x14ac:dyDescent="0.3">
      <c r="A27" s="74">
        <v>130</v>
      </c>
      <c r="B27" s="76">
        <v>0</v>
      </c>
      <c r="C27" s="74">
        <v>0</v>
      </c>
      <c r="D27" s="74">
        <v>0</v>
      </c>
      <c r="E27" s="51">
        <v>0</v>
      </c>
      <c r="F27" s="74">
        <v>0</v>
      </c>
      <c r="G27" s="74">
        <v>0</v>
      </c>
      <c r="H27" s="51">
        <v>0</v>
      </c>
      <c r="I27" s="74">
        <v>0</v>
      </c>
      <c r="J27" s="51">
        <v>0</v>
      </c>
    </row>
    <row r="28" spans="1:13" x14ac:dyDescent="0.3">
      <c r="A28" s="74">
        <v>140</v>
      </c>
      <c r="B28" s="76">
        <v>0</v>
      </c>
      <c r="C28" s="74">
        <v>0</v>
      </c>
      <c r="D28" s="74">
        <v>0</v>
      </c>
      <c r="E28" s="51">
        <v>0</v>
      </c>
      <c r="F28" s="74">
        <v>0</v>
      </c>
      <c r="G28" s="74">
        <v>0</v>
      </c>
      <c r="H28" s="51">
        <v>0</v>
      </c>
      <c r="I28" s="74">
        <v>0</v>
      </c>
      <c r="J28" s="51">
        <v>0</v>
      </c>
    </row>
    <row r="29" spans="1:13" x14ac:dyDescent="0.3">
      <c r="A29" s="74">
        <v>150</v>
      </c>
      <c r="B29" s="76">
        <v>0</v>
      </c>
      <c r="C29" s="74">
        <v>0</v>
      </c>
      <c r="D29" s="74">
        <v>0</v>
      </c>
      <c r="E29" s="51">
        <v>0</v>
      </c>
      <c r="F29" s="74">
        <v>0</v>
      </c>
      <c r="G29" s="74">
        <v>0</v>
      </c>
      <c r="H29" s="51">
        <v>0</v>
      </c>
      <c r="I29" s="74">
        <v>0</v>
      </c>
      <c r="J29" s="51">
        <v>0</v>
      </c>
    </row>
    <row r="30" spans="1:13" x14ac:dyDescent="0.3">
      <c r="A30" s="74">
        <v>160</v>
      </c>
      <c r="B30" s="76">
        <v>0</v>
      </c>
      <c r="C30" s="74">
        <v>0</v>
      </c>
      <c r="D30" s="74">
        <v>0</v>
      </c>
      <c r="E30" s="51">
        <v>0</v>
      </c>
      <c r="F30" s="74">
        <v>0</v>
      </c>
      <c r="G30" s="74">
        <v>0</v>
      </c>
      <c r="H30" s="51">
        <v>0</v>
      </c>
      <c r="I30" s="74">
        <v>0</v>
      </c>
      <c r="J30" s="51">
        <v>0</v>
      </c>
    </row>
    <row r="31" spans="1:13" x14ac:dyDescent="0.3">
      <c r="A31" s="74">
        <v>170</v>
      </c>
      <c r="B31" s="76">
        <v>0</v>
      </c>
      <c r="C31" s="74">
        <v>0</v>
      </c>
      <c r="D31" s="74">
        <v>0</v>
      </c>
      <c r="E31" s="51">
        <v>0</v>
      </c>
      <c r="F31" s="74">
        <v>0</v>
      </c>
      <c r="G31" s="74">
        <v>0</v>
      </c>
      <c r="H31" s="51">
        <v>0</v>
      </c>
      <c r="I31" s="74">
        <v>0</v>
      </c>
      <c r="J31" s="51">
        <v>0</v>
      </c>
    </row>
    <row r="32" spans="1:13" x14ac:dyDescent="0.3">
      <c r="A32" s="74">
        <v>171.345</v>
      </c>
      <c r="B32" s="76">
        <v>0</v>
      </c>
      <c r="C32" s="74">
        <v>0</v>
      </c>
      <c r="D32" s="74">
        <v>0</v>
      </c>
      <c r="E32" s="51">
        <v>0</v>
      </c>
      <c r="F32" s="74">
        <v>0</v>
      </c>
      <c r="G32" s="74">
        <v>0</v>
      </c>
      <c r="H32" s="51">
        <v>0</v>
      </c>
      <c r="I32" s="74">
        <v>0</v>
      </c>
      <c r="J32" s="51">
        <v>0</v>
      </c>
    </row>
  </sheetData>
  <conditionalFormatting sqref="A3">
    <cfRule type="cellIs" dxfId="14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2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126" customWidth="1"/>
    <col min="2" max="2" width="12.08984375" style="127" customWidth="1"/>
    <col min="3" max="3" width="13.26953125" style="126" customWidth="1"/>
    <col min="4" max="4" width="12.6328125" style="137" customWidth="1"/>
    <col min="5" max="5" width="13.08984375" style="106" customWidth="1"/>
    <col min="6" max="6" width="14.26953125" style="106" customWidth="1"/>
    <col min="7" max="7" width="12.36328125" style="106" customWidth="1"/>
    <col min="8" max="11" width="11.6328125" style="106" customWidth="1"/>
    <col min="12" max="12" width="15.81640625" style="106" customWidth="1"/>
    <col min="13" max="13" width="15.26953125" style="106" customWidth="1"/>
    <col min="14" max="14" width="14.6328125" style="106" customWidth="1"/>
    <col min="15" max="15" width="13.7265625" style="106" customWidth="1"/>
    <col min="16" max="16" width="11.6328125" style="106" customWidth="1"/>
    <col min="17" max="17" width="16" style="106" customWidth="1"/>
    <col min="18" max="18" width="11.6328125" style="106" customWidth="1"/>
    <col min="19" max="16384" width="11.6328125" style="106"/>
  </cols>
  <sheetData>
    <row r="1" spans="1:17" ht="45" customHeight="1" x14ac:dyDescent="0.6">
      <c r="A1" s="104"/>
      <c r="B1" s="104"/>
      <c r="C1" s="105"/>
      <c r="D1" s="104"/>
      <c r="E1" s="104"/>
      <c r="F1" s="104"/>
      <c r="G1" s="104"/>
      <c r="H1" s="104"/>
      <c r="I1" s="104"/>
    </row>
    <row r="2" spans="1:17" ht="16.899999999999999" customHeight="1" x14ac:dyDescent="0.4">
      <c r="A2" s="107" t="s">
        <v>6</v>
      </c>
      <c r="B2" s="108"/>
      <c r="C2" s="109"/>
      <c r="D2" s="109"/>
      <c r="E2" s="109"/>
      <c r="F2" s="109"/>
      <c r="G2" s="109"/>
      <c r="H2" s="109"/>
      <c r="I2" s="109"/>
    </row>
    <row r="3" spans="1:17" ht="16.149999999999999" customHeight="1" x14ac:dyDescent="0.35">
      <c r="A3" s="153" t="s">
        <v>37</v>
      </c>
      <c r="B3" s="110"/>
      <c r="C3" s="111"/>
      <c r="D3" s="111"/>
      <c r="E3" s="111"/>
      <c r="F3" s="111"/>
      <c r="G3" s="111"/>
      <c r="H3" s="111"/>
      <c r="I3" s="109"/>
    </row>
    <row r="4" spans="1:17" ht="16.149999999999999" customHeight="1" x14ac:dyDescent="0.35">
      <c r="A4" s="110" t="s">
        <v>8</v>
      </c>
      <c r="B4" s="110" t="str">
        <f>Sammendrag!B4</f>
        <v>Veg 2</v>
      </c>
      <c r="C4" s="110"/>
      <c r="D4" s="111"/>
      <c r="E4" s="111"/>
      <c r="F4" s="111"/>
      <c r="G4" s="111"/>
      <c r="H4" s="111"/>
      <c r="I4" s="109"/>
    </row>
    <row r="5" spans="1:17" ht="15" customHeight="1" x14ac:dyDescent="0.3">
      <c r="A5" s="111"/>
      <c r="B5" s="111" t="str">
        <f>IF(Sammendrag!B5="","",Sammendrag!B5)</f>
        <v/>
      </c>
      <c r="C5" s="111"/>
      <c r="D5" s="111"/>
      <c r="E5" s="111"/>
      <c r="F5" s="111" t="str">
        <f>Sammendrag!F5</f>
        <v>Start profil:</v>
      </c>
      <c r="G5" s="111"/>
      <c r="H5" s="112">
        <f>Sammendrag!H5</f>
        <v>1.1000000000000001</v>
      </c>
      <c r="I5" s="109"/>
    </row>
    <row r="6" spans="1:17" ht="15" customHeight="1" x14ac:dyDescent="0.3">
      <c r="A6" s="111"/>
      <c r="B6" s="111"/>
      <c r="C6" s="111"/>
      <c r="D6" s="111"/>
      <c r="E6" s="111"/>
      <c r="F6" s="111" t="str">
        <f>Sammendrag!F6</f>
        <v>Slutt profil:</v>
      </c>
      <c r="G6" s="111"/>
      <c r="H6" s="112">
        <f>Sammendrag!H6</f>
        <v>171.345</v>
      </c>
      <c r="I6" s="109"/>
    </row>
    <row r="7" spans="1:17" ht="15" customHeight="1" x14ac:dyDescent="0.3">
      <c r="A7" s="111"/>
      <c r="B7" s="111"/>
      <c r="C7" s="111"/>
      <c r="D7" s="111"/>
      <c r="E7" s="111"/>
      <c r="F7" s="111" t="str">
        <f>Sammendrag!F7</f>
        <v>Dato sist endret:</v>
      </c>
      <c r="G7" s="111"/>
      <c r="H7" s="113" t="str">
        <f>Sammendrag!H7</f>
        <v>5/8/2020 1:05:25 PM</v>
      </c>
      <c r="I7" s="109"/>
    </row>
    <row r="8" spans="1:17" ht="15" customHeight="1" x14ac:dyDescent="0.3">
      <c r="A8" s="111"/>
      <c r="B8" s="111"/>
      <c r="C8" s="111"/>
      <c r="D8" s="111"/>
      <c r="E8" s="111"/>
      <c r="F8" s="111"/>
      <c r="G8" s="111"/>
      <c r="H8" s="111"/>
      <c r="I8" s="109"/>
    </row>
    <row r="9" spans="1:17" ht="15" customHeight="1" x14ac:dyDescent="0.3">
      <c r="A9" s="114"/>
      <c r="B9" s="114"/>
      <c r="C9" s="114"/>
      <c r="D9" s="115"/>
      <c r="E9" s="114"/>
      <c r="F9" s="114"/>
      <c r="G9" s="115"/>
      <c r="H9" s="115"/>
    </row>
    <row r="10" spans="1:17" ht="15" customHeight="1" x14ac:dyDescent="0.3">
      <c r="A10" s="115"/>
      <c r="B10" s="115"/>
      <c r="C10" s="115"/>
      <c r="D10" s="115"/>
      <c r="E10" s="115"/>
      <c r="F10" s="115"/>
      <c r="G10" s="115"/>
      <c r="H10" s="115"/>
    </row>
    <row r="11" spans="1:17" x14ac:dyDescent="0.3">
      <c r="A11" s="116"/>
      <c r="B11" s="117"/>
      <c r="C11" s="117"/>
      <c r="D11" s="138"/>
      <c r="E11" s="114"/>
      <c r="F11" s="115"/>
      <c r="G11" s="115"/>
      <c r="H11" s="115"/>
      <c r="K11" s="118"/>
    </row>
    <row r="12" spans="1:17" ht="36.65" customHeight="1" thickBot="1" x14ac:dyDescent="0.35">
      <c r="A12" s="119" t="s">
        <v>25</v>
      </c>
      <c r="B12" s="148" t="s">
        <v>81</v>
      </c>
      <c r="C12" s="148" t="s">
        <v>82</v>
      </c>
      <c r="D12" s="149" t="s">
        <v>83</v>
      </c>
      <c r="E12" s="135"/>
      <c r="F12" s="135"/>
      <c r="G12" s="135"/>
      <c r="H12" s="120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16.149999999999999" customHeight="1" thickTop="1" x14ac:dyDescent="0.3">
      <c r="A13" s="122" t="s">
        <v>26</v>
      </c>
      <c r="B13" s="123">
        <f ca="1">SUM([0]!IncLev_CD_SoilCut)</f>
        <v>0</v>
      </c>
      <c r="C13" s="123">
        <f ca="1">SUM([0]!IncLev_CD_RockCut)</f>
        <v>0</v>
      </c>
      <c r="D13" s="136">
        <f ca="1">SUM([0]!IncLev_CD_Fill)</f>
        <v>0</v>
      </c>
      <c r="E13" s="115"/>
      <c r="F13" s="115"/>
      <c r="G13" s="115"/>
      <c r="H13" s="121"/>
      <c r="I13" s="121"/>
      <c r="J13" s="124"/>
      <c r="K13" s="125"/>
      <c r="M13" s="121"/>
    </row>
    <row r="14" spans="1:17" ht="13" x14ac:dyDescent="0.3">
      <c r="A14" s="126">
        <v>1.1000000000000001</v>
      </c>
      <c r="B14" s="127">
        <v>0</v>
      </c>
      <c r="C14" s="126">
        <v>0</v>
      </c>
      <c r="D14" s="137">
        <v>0</v>
      </c>
      <c r="J14" s="124"/>
      <c r="K14" s="125"/>
    </row>
    <row r="15" spans="1:17" ht="13" x14ac:dyDescent="0.3">
      <c r="A15" s="126">
        <v>10</v>
      </c>
      <c r="B15" s="127">
        <v>0</v>
      </c>
      <c r="C15" s="126">
        <v>0</v>
      </c>
      <c r="D15" s="137">
        <v>0</v>
      </c>
      <c r="J15" s="124"/>
      <c r="K15" s="125"/>
    </row>
    <row r="16" spans="1:17" ht="13" x14ac:dyDescent="0.3">
      <c r="A16" s="126">
        <v>20</v>
      </c>
      <c r="B16" s="127">
        <v>0</v>
      </c>
      <c r="C16" s="126">
        <v>0</v>
      </c>
      <c r="D16" s="137">
        <v>0</v>
      </c>
      <c r="J16" s="124"/>
      <c r="K16" s="125"/>
    </row>
    <row r="17" spans="1:11" ht="13" x14ac:dyDescent="0.3">
      <c r="A17" s="126">
        <v>30</v>
      </c>
      <c r="B17" s="127">
        <v>0</v>
      </c>
      <c r="C17" s="126">
        <v>0</v>
      </c>
      <c r="D17" s="137">
        <v>0</v>
      </c>
      <c r="J17" s="124"/>
      <c r="K17" s="125"/>
    </row>
    <row r="18" spans="1:11" ht="13" x14ac:dyDescent="0.3">
      <c r="A18" s="126">
        <v>40</v>
      </c>
      <c r="B18" s="127">
        <v>0</v>
      </c>
      <c r="C18" s="126">
        <v>0</v>
      </c>
      <c r="D18" s="137">
        <v>0</v>
      </c>
      <c r="J18" s="124"/>
      <c r="K18" s="125"/>
    </row>
    <row r="19" spans="1:11" x14ac:dyDescent="0.3">
      <c r="A19" s="126">
        <v>50</v>
      </c>
      <c r="B19" s="127">
        <v>0</v>
      </c>
      <c r="C19" s="126">
        <v>0</v>
      </c>
      <c r="D19" s="137">
        <v>0</v>
      </c>
    </row>
    <row r="20" spans="1:11" x14ac:dyDescent="0.3">
      <c r="A20" s="126">
        <v>60</v>
      </c>
      <c r="B20" s="127">
        <v>0</v>
      </c>
      <c r="C20" s="126">
        <v>0</v>
      </c>
      <c r="D20" s="137">
        <v>0</v>
      </c>
    </row>
    <row r="21" spans="1:11" x14ac:dyDescent="0.3">
      <c r="A21" s="126">
        <v>70</v>
      </c>
      <c r="B21" s="127">
        <v>0</v>
      </c>
      <c r="C21" s="126">
        <v>0</v>
      </c>
      <c r="D21" s="137">
        <v>0</v>
      </c>
    </row>
    <row r="22" spans="1:11" x14ac:dyDescent="0.3">
      <c r="A22" s="126">
        <v>80</v>
      </c>
      <c r="B22" s="127">
        <v>0</v>
      </c>
      <c r="C22" s="126">
        <v>0</v>
      </c>
      <c r="D22" s="137">
        <v>0</v>
      </c>
    </row>
    <row r="23" spans="1:11" x14ac:dyDescent="0.3">
      <c r="A23" s="126">
        <v>90</v>
      </c>
      <c r="B23" s="127">
        <v>0</v>
      </c>
      <c r="C23" s="126">
        <v>0</v>
      </c>
      <c r="D23" s="137">
        <v>0</v>
      </c>
    </row>
    <row r="24" spans="1:11" x14ac:dyDescent="0.3">
      <c r="A24" s="126">
        <v>100</v>
      </c>
      <c r="B24" s="127">
        <v>0</v>
      </c>
      <c r="C24" s="126">
        <v>0</v>
      </c>
      <c r="D24" s="137">
        <v>0</v>
      </c>
    </row>
    <row r="25" spans="1:11" x14ac:dyDescent="0.3">
      <c r="A25" s="126">
        <v>110</v>
      </c>
      <c r="B25" s="127">
        <v>0</v>
      </c>
      <c r="C25" s="126">
        <v>0</v>
      </c>
      <c r="D25" s="137">
        <v>0</v>
      </c>
    </row>
    <row r="26" spans="1:11" x14ac:dyDescent="0.3">
      <c r="A26" s="126">
        <v>120</v>
      </c>
      <c r="B26" s="127">
        <v>0</v>
      </c>
      <c r="C26" s="126">
        <v>0</v>
      </c>
      <c r="D26" s="137">
        <v>0</v>
      </c>
    </row>
    <row r="27" spans="1:11" x14ac:dyDescent="0.3">
      <c r="A27" s="126">
        <v>130</v>
      </c>
      <c r="B27" s="127">
        <v>0</v>
      </c>
      <c r="C27" s="126">
        <v>0</v>
      </c>
      <c r="D27" s="137">
        <v>0</v>
      </c>
    </row>
    <row r="28" spans="1:11" x14ac:dyDescent="0.3">
      <c r="A28" s="126">
        <v>140</v>
      </c>
      <c r="B28" s="127">
        <v>0</v>
      </c>
      <c r="C28" s="126">
        <v>0</v>
      </c>
      <c r="D28" s="137">
        <v>0</v>
      </c>
    </row>
    <row r="29" spans="1:11" x14ac:dyDescent="0.3">
      <c r="A29" s="126">
        <v>150</v>
      </c>
      <c r="B29" s="127">
        <v>0</v>
      </c>
      <c r="C29" s="126">
        <v>0</v>
      </c>
      <c r="D29" s="137">
        <v>0</v>
      </c>
    </row>
    <row r="30" spans="1:11" x14ac:dyDescent="0.3">
      <c r="A30" s="126">
        <v>160</v>
      </c>
      <c r="B30" s="127">
        <v>0</v>
      </c>
      <c r="C30" s="126">
        <v>0</v>
      </c>
      <c r="D30" s="137">
        <v>0</v>
      </c>
    </row>
    <row r="31" spans="1:11" x14ac:dyDescent="0.3">
      <c r="A31" s="126">
        <v>170</v>
      </c>
      <c r="B31" s="127">
        <v>0</v>
      </c>
      <c r="C31" s="126">
        <v>0</v>
      </c>
      <c r="D31" s="137">
        <v>0</v>
      </c>
    </row>
    <row r="32" spans="1:11" x14ac:dyDescent="0.3">
      <c r="A32" s="126">
        <v>171.345</v>
      </c>
      <c r="B32" s="127">
        <v>0</v>
      </c>
      <c r="C32" s="126">
        <v>0</v>
      </c>
      <c r="D32" s="137">
        <v>0</v>
      </c>
    </row>
  </sheetData>
  <conditionalFormatting sqref="B12:D12">
    <cfRule type="cellIs" dxfId="13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2"/>
  <sheetViews>
    <sheetView workbookViewId="0">
      <selection activeCell="A2" sqref="A2"/>
    </sheetView>
  </sheetViews>
  <sheetFormatPr baseColWidth="10" defaultColWidth="11.6328125" defaultRowHeight="13" x14ac:dyDescent="0.3"/>
  <cols>
    <col min="1" max="1" width="15.7265625" style="74" customWidth="1"/>
    <col min="2" max="2" width="12.7265625" style="76" customWidth="1"/>
    <col min="3" max="3" width="12.81640625" style="95" customWidth="1"/>
    <col min="4" max="4" width="11.6328125" style="76" customWidth="1"/>
    <col min="5" max="5" width="11.6328125" style="95" customWidth="1"/>
    <col min="6" max="6" width="11.6328125" style="76" customWidth="1"/>
    <col min="7" max="7" width="11.6328125" style="95" customWidth="1"/>
    <col min="8" max="8" width="11.6328125" style="76" customWidth="1"/>
    <col min="9" max="9" width="11.6328125" style="95" customWidth="1"/>
    <col min="10" max="10" width="11.6328125" style="76" customWidth="1"/>
    <col min="11" max="11" width="11.6328125" style="134" customWidth="1"/>
    <col min="12" max="13" width="11.6328125" style="51" customWidth="1"/>
    <col min="14" max="14" width="11.6328125" style="76" customWidth="1"/>
    <col min="15" max="15" width="11.6328125" style="51" customWidth="1"/>
    <col min="16" max="16" width="11.6328125" style="76" customWidth="1"/>
    <col min="17" max="17" width="11.6328125" style="134" customWidth="1"/>
    <col min="18" max="19" width="11.6328125" style="51" customWidth="1"/>
    <col min="20" max="20" width="13" style="76" customWidth="1"/>
    <col min="21" max="21" width="11.26953125" style="95" customWidth="1"/>
    <col min="22" max="22" width="14.6328125" style="51" customWidth="1"/>
    <col min="23" max="31" width="11.6328125" style="80" customWidth="1"/>
    <col min="32" max="32" width="11.6328125" style="51" customWidth="1"/>
    <col min="33" max="16384" width="11.6328125" style="51"/>
  </cols>
  <sheetData>
    <row r="1" spans="1:31" ht="45" customHeight="1" x14ac:dyDescent="0.6">
      <c r="A1" s="48"/>
      <c r="B1" s="48"/>
      <c r="C1" s="49"/>
      <c r="D1" s="48"/>
      <c r="E1" s="48"/>
      <c r="F1" s="48"/>
      <c r="G1" s="48"/>
      <c r="H1" s="48"/>
      <c r="I1" s="48"/>
      <c r="J1" s="84"/>
      <c r="K1" s="84"/>
      <c r="L1" s="84"/>
      <c r="M1" s="84"/>
      <c r="N1" s="48"/>
      <c r="O1" s="85"/>
      <c r="P1" s="84"/>
      <c r="Q1" s="85"/>
      <c r="R1" s="85"/>
      <c r="S1" s="85"/>
      <c r="T1" s="48"/>
      <c r="U1" s="48"/>
    </row>
    <row r="2" spans="1:31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86"/>
      <c r="K2" s="86"/>
      <c r="L2" s="86"/>
      <c r="M2" s="86"/>
      <c r="N2" s="53"/>
      <c r="O2" s="87"/>
      <c r="P2" s="86"/>
      <c r="Q2" s="87"/>
      <c r="R2" s="87"/>
      <c r="S2" s="87"/>
      <c r="T2" s="53"/>
      <c r="U2" s="53"/>
    </row>
    <row r="3" spans="1:31" ht="16.149999999999999" customHeight="1" x14ac:dyDescent="0.35">
      <c r="A3" s="153" t="s">
        <v>41</v>
      </c>
      <c r="B3" s="55"/>
      <c r="C3" s="56"/>
      <c r="D3" s="56"/>
      <c r="E3" s="56"/>
      <c r="F3" s="56"/>
      <c r="G3" s="56"/>
      <c r="H3" s="56"/>
      <c r="I3" s="56"/>
      <c r="J3" s="9"/>
      <c r="K3" s="9"/>
      <c r="L3" s="9"/>
      <c r="M3" s="9"/>
      <c r="N3" s="56"/>
      <c r="O3" s="10"/>
      <c r="P3" s="9"/>
      <c r="Q3" s="10"/>
      <c r="R3" s="10"/>
      <c r="S3" s="10"/>
      <c r="T3" s="56"/>
      <c r="U3" s="56"/>
      <c r="V3" s="19"/>
    </row>
    <row r="4" spans="1:31" ht="16.149999999999999" customHeight="1" x14ac:dyDescent="0.35">
      <c r="A4" s="55" t="s">
        <v>8</v>
      </c>
      <c r="B4" s="55" t="str">
        <f>Sammendrag!B4</f>
        <v>Veg 2</v>
      </c>
      <c r="C4" s="55"/>
      <c r="D4" s="56"/>
      <c r="E4" s="56"/>
      <c r="F4" s="56"/>
      <c r="G4" s="56"/>
      <c r="H4" s="56"/>
      <c r="I4" s="56"/>
      <c r="J4" s="9"/>
      <c r="K4" s="9"/>
      <c r="L4" s="9"/>
      <c r="M4" s="9"/>
      <c r="N4" s="56"/>
      <c r="O4" s="10"/>
      <c r="P4" s="9"/>
      <c r="Q4" s="10"/>
      <c r="R4" s="10"/>
      <c r="S4" s="10"/>
      <c r="T4" s="56"/>
      <c r="U4" s="56"/>
      <c r="V4" s="19"/>
    </row>
    <row r="5" spans="1:31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56"/>
      <c r="H5" s="15">
        <f>Sammendrag!H5</f>
        <v>1.1000000000000001</v>
      </c>
      <c r="I5" s="56"/>
      <c r="J5" s="9"/>
      <c r="K5" s="9"/>
      <c r="L5" s="9"/>
      <c r="M5" s="9"/>
      <c r="N5" s="56"/>
      <c r="O5" s="10"/>
      <c r="P5" s="9"/>
      <c r="Q5" s="10"/>
      <c r="R5" s="10"/>
      <c r="S5" s="10"/>
      <c r="T5" s="56"/>
      <c r="U5" s="56"/>
      <c r="V5" s="19"/>
    </row>
    <row r="6" spans="1:31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56"/>
      <c r="H6" s="15">
        <f>Sammendrag!H6</f>
        <v>171.345</v>
      </c>
      <c r="I6" s="56"/>
      <c r="J6" s="9"/>
      <c r="K6" s="9"/>
      <c r="L6" s="9"/>
      <c r="M6" s="9"/>
      <c r="N6" s="56"/>
      <c r="O6" s="10"/>
      <c r="P6" s="9"/>
      <c r="Q6" s="10"/>
      <c r="R6" s="10"/>
      <c r="S6" s="10"/>
      <c r="T6" s="56"/>
      <c r="U6" s="56"/>
      <c r="V6" s="19"/>
    </row>
    <row r="7" spans="1:31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6"/>
      <c r="H7" s="58" t="str">
        <f>Sammendrag!H7</f>
        <v>5/8/2020 1:05:25 PM</v>
      </c>
      <c r="I7" s="56"/>
      <c r="J7" s="9"/>
      <c r="K7" s="9"/>
      <c r="L7" s="9"/>
      <c r="M7" s="9"/>
      <c r="N7" s="56"/>
      <c r="O7" s="10"/>
      <c r="P7" s="9"/>
      <c r="Q7" s="10"/>
      <c r="R7" s="10"/>
      <c r="S7" s="10"/>
      <c r="T7" s="56"/>
      <c r="U7" s="56"/>
      <c r="V7" s="19"/>
    </row>
    <row r="8" spans="1:31" ht="15" customHeight="1" x14ac:dyDescent="0.3">
      <c r="A8" s="56"/>
      <c r="B8" s="56"/>
      <c r="C8" s="56"/>
      <c r="D8" s="56"/>
      <c r="E8" s="56"/>
      <c r="F8" s="56"/>
      <c r="G8" s="56"/>
      <c r="H8" s="15"/>
      <c r="I8" s="56"/>
      <c r="J8" s="9"/>
      <c r="K8" s="9"/>
      <c r="L8" s="9"/>
      <c r="M8" s="9"/>
      <c r="N8" s="56"/>
      <c r="O8" s="10"/>
      <c r="P8" s="9"/>
      <c r="Q8" s="10"/>
      <c r="R8" s="10"/>
      <c r="S8" s="10"/>
      <c r="T8" s="56"/>
      <c r="U8" s="56"/>
      <c r="V8" s="19"/>
    </row>
    <row r="9" spans="1:31" ht="15" customHeight="1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31" ht="15" customHeight="1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31" s="91" customFormat="1" ht="17.5" customHeight="1" x14ac:dyDescent="0.25">
      <c r="A11" s="88"/>
      <c r="B11" s="158" t="s">
        <v>42</v>
      </c>
      <c r="C11" s="159"/>
      <c r="D11" s="158" t="s">
        <v>43</v>
      </c>
      <c r="E11" s="159"/>
      <c r="F11" s="158" t="s">
        <v>44</v>
      </c>
      <c r="G11" s="159"/>
      <c r="H11" s="158" t="s">
        <v>45</v>
      </c>
      <c r="I11" s="159"/>
      <c r="J11" s="158" t="s">
        <v>46</v>
      </c>
      <c r="K11" s="159"/>
      <c r="L11" s="158" t="s">
        <v>47</v>
      </c>
      <c r="M11" s="159"/>
      <c r="N11" s="158" t="s">
        <v>48</v>
      </c>
      <c r="O11" s="159"/>
      <c r="P11" s="158" t="s">
        <v>49</v>
      </c>
      <c r="Q11" s="159"/>
      <c r="R11" s="158" t="s">
        <v>50</v>
      </c>
      <c r="S11" s="159"/>
      <c r="T11" s="158" t="s">
        <v>51</v>
      </c>
      <c r="U11" s="159"/>
      <c r="V11" s="89"/>
      <c r="W11" s="90"/>
      <c r="X11" s="90"/>
      <c r="Y11" s="90"/>
      <c r="Z11" s="90"/>
      <c r="AA11" s="90"/>
      <c r="AB11" s="90"/>
      <c r="AC11" s="90"/>
      <c r="AD11" s="90"/>
      <c r="AE11" s="90"/>
    </row>
    <row r="12" spans="1:31" s="91" customFormat="1" ht="21.65" customHeight="1" thickBot="1" x14ac:dyDescent="0.3">
      <c r="A12" s="92" t="s">
        <v>25</v>
      </c>
      <c r="B12" s="150" t="s">
        <v>84</v>
      </c>
      <c r="C12" s="151" t="s">
        <v>85</v>
      </c>
      <c r="D12" s="150" t="s">
        <v>84</v>
      </c>
      <c r="E12" s="151" t="s">
        <v>85</v>
      </c>
      <c r="F12" s="150" t="s">
        <v>84</v>
      </c>
      <c r="G12" s="151" t="s">
        <v>85</v>
      </c>
      <c r="H12" s="150" t="s">
        <v>84</v>
      </c>
      <c r="I12" s="151" t="s">
        <v>85</v>
      </c>
      <c r="J12" s="150" t="s">
        <v>84</v>
      </c>
      <c r="K12" s="151" t="s">
        <v>85</v>
      </c>
      <c r="L12" s="150" t="s">
        <v>84</v>
      </c>
      <c r="M12" s="151" t="s">
        <v>85</v>
      </c>
      <c r="N12" s="150" t="s">
        <v>84</v>
      </c>
      <c r="O12" s="151" t="s">
        <v>85</v>
      </c>
      <c r="P12" s="150" t="s">
        <v>84</v>
      </c>
      <c r="Q12" s="151" t="s">
        <v>85</v>
      </c>
      <c r="R12" s="150" t="s">
        <v>84</v>
      </c>
      <c r="S12" s="151" t="s">
        <v>85</v>
      </c>
      <c r="T12" s="150" t="s">
        <v>84</v>
      </c>
      <c r="U12" s="151" t="s">
        <v>85</v>
      </c>
      <c r="V12" s="93"/>
      <c r="W12" s="90"/>
      <c r="X12" s="90"/>
      <c r="Y12" s="90"/>
      <c r="Z12" s="90"/>
      <c r="AA12" s="90"/>
      <c r="AB12" s="90"/>
      <c r="AC12" s="90"/>
      <c r="AD12" s="90"/>
      <c r="AE12" s="90"/>
    </row>
    <row r="13" spans="1:31" ht="16.149999999999999" customHeight="1" thickTop="1" x14ac:dyDescent="0.3">
      <c r="A13" s="69" t="s">
        <v>26</v>
      </c>
      <c r="B13" s="70">
        <f ca="1">SUM([0]!ST_Surface_Vol)</f>
        <v>29.042502193163028</v>
      </c>
      <c r="C13" s="94">
        <f ca="1">SUM([0]!ST_Surface_Area)</f>
        <v>438.81924468197644</v>
      </c>
      <c r="D13" s="70">
        <f ca="1">SUM([0]!ST_Binder1_Vol)</f>
        <v>0</v>
      </c>
      <c r="E13" s="94">
        <f ca="1">SUM([0]!ST_Binder1_Area)</f>
        <v>0</v>
      </c>
      <c r="F13" s="70">
        <f ca="1">SUM([0]!ST_Binder2_Vol)</f>
        <v>0</v>
      </c>
      <c r="G13" s="94">
        <f ca="1">SUM([0]!ST_Binder2_Area)</f>
        <v>0</v>
      </c>
      <c r="H13" s="70">
        <f ca="1">SUM([0]!ST_Base1_Vol)</f>
        <v>73.557685874374215</v>
      </c>
      <c r="I13" s="94">
        <f ca="1">SUM([0]!ST_Base1_Area)</f>
        <v>487.8873825786261</v>
      </c>
      <c r="J13" s="70">
        <f ca="1">SUM([0]!ST_Base2_Vol)</f>
        <v>77.050578814776586</v>
      </c>
      <c r="K13" s="133">
        <f ca="1">SUM([0]!ST_Base2_Area)</f>
        <v>481.90679322997642</v>
      </c>
      <c r="L13" s="59">
        <f ca="1">SUM([0]!ST_Base3_Vol)</f>
        <v>0</v>
      </c>
      <c r="M13" s="94">
        <f ca="1">SUM([0]!ST_Base3_Area)</f>
        <v>0</v>
      </c>
      <c r="N13" s="70">
        <f ca="1">SUM([0]!ST_Subbase1_Vol)</f>
        <v>0</v>
      </c>
      <c r="O13" s="94">
        <f ca="1">SUM([0]!ST_Subbase1_Area)</f>
        <v>0</v>
      </c>
      <c r="P13" s="70">
        <f ca="1">SUM([0]!ST_Subbase2_Vol)</f>
        <v>0</v>
      </c>
      <c r="Q13" s="133">
        <f ca="1">SUM([0]!ST_Subbase2_Area)</f>
        <v>0</v>
      </c>
      <c r="R13" s="59">
        <f ca="1">SUM([0]!ST_Subbase3_Vol)</f>
        <v>0</v>
      </c>
      <c r="S13" s="94">
        <f ca="1">SUM([0]!ST_Subbase3_Area)</f>
        <v>0</v>
      </c>
      <c r="T13" s="70">
        <f ca="1">SUM([0]!ST_Filter_Vol)</f>
        <v>0.44187680538125973</v>
      </c>
      <c r="U13" s="94">
        <f ca="1">SUM([0]!ST_Filter_Area)</f>
        <v>457.39245825430413</v>
      </c>
    </row>
    <row r="14" spans="1:31" x14ac:dyDescent="0.3">
      <c r="A14" s="74">
        <v>1.1000000000000001</v>
      </c>
      <c r="B14" s="76">
        <v>5.1881532761600804</v>
      </c>
      <c r="C14" s="95">
        <v>76.244036145750698</v>
      </c>
      <c r="D14" s="76">
        <v>0</v>
      </c>
      <c r="E14" s="95">
        <v>0</v>
      </c>
      <c r="F14" s="76">
        <v>0</v>
      </c>
      <c r="G14" s="95">
        <v>0</v>
      </c>
      <c r="H14" s="76">
        <v>14.9471110472465</v>
      </c>
      <c r="I14" s="95">
        <v>79.541796469485902</v>
      </c>
      <c r="J14" s="76">
        <v>15.1213710974928</v>
      </c>
      <c r="K14" s="134">
        <v>79.839555106294199</v>
      </c>
      <c r="L14" s="51">
        <v>0</v>
      </c>
      <c r="M14" s="95">
        <v>0</v>
      </c>
      <c r="N14" s="76">
        <v>0</v>
      </c>
      <c r="O14" s="95">
        <v>0</v>
      </c>
      <c r="P14" s="76">
        <v>0</v>
      </c>
      <c r="Q14" s="134">
        <v>0</v>
      </c>
      <c r="R14" s="51">
        <v>0</v>
      </c>
      <c r="S14" s="51">
        <v>0</v>
      </c>
      <c r="T14" s="76">
        <v>7.4956956191528007E-2</v>
      </c>
      <c r="U14" s="95">
        <v>76.596714170015503</v>
      </c>
    </row>
    <row r="15" spans="1:31" x14ac:dyDescent="0.3">
      <c r="A15" s="74">
        <v>10</v>
      </c>
      <c r="B15" s="76">
        <v>3.6180270608423299</v>
      </c>
      <c r="C15" s="95">
        <v>53.3932973469092</v>
      </c>
      <c r="D15" s="76">
        <v>0</v>
      </c>
      <c r="E15" s="95">
        <v>0</v>
      </c>
      <c r="F15" s="76">
        <v>0</v>
      </c>
      <c r="G15" s="95">
        <v>0</v>
      </c>
      <c r="H15" s="76">
        <v>10.600627712648199</v>
      </c>
      <c r="I15" s="95">
        <v>57.104172138521101</v>
      </c>
      <c r="J15" s="76">
        <v>10.9921697108629</v>
      </c>
      <c r="K15" s="134">
        <v>59.076687375500399</v>
      </c>
      <c r="L15" s="51">
        <v>0</v>
      </c>
      <c r="M15" s="95">
        <v>0</v>
      </c>
      <c r="N15" s="76">
        <v>0</v>
      </c>
      <c r="O15" s="95">
        <v>0</v>
      </c>
      <c r="P15" s="76">
        <v>0</v>
      </c>
      <c r="Q15" s="134">
        <v>0</v>
      </c>
      <c r="R15" s="51">
        <v>0</v>
      </c>
      <c r="S15" s="51">
        <v>0</v>
      </c>
      <c r="T15" s="76">
        <v>5.3639054056652903E-2</v>
      </c>
      <c r="U15" s="95">
        <v>56.378270879094401</v>
      </c>
    </row>
    <row r="16" spans="1:31" x14ac:dyDescent="0.3">
      <c r="A16" s="74">
        <v>20</v>
      </c>
      <c r="B16" s="76">
        <v>1.4334373101923501</v>
      </c>
      <c r="C16" s="95">
        <v>21.770311589835998</v>
      </c>
      <c r="D16" s="76">
        <v>0</v>
      </c>
      <c r="E16" s="95">
        <v>0</v>
      </c>
      <c r="F16" s="76">
        <v>0</v>
      </c>
      <c r="G16" s="95">
        <v>0</v>
      </c>
      <c r="H16" s="76">
        <v>3.90908073667446</v>
      </c>
      <c r="I16" s="95">
        <v>24.959587612889599</v>
      </c>
      <c r="J16" s="76">
        <v>4.17286679437579</v>
      </c>
      <c r="K16" s="134">
        <v>25.705053816863</v>
      </c>
      <c r="L16" s="51">
        <v>0</v>
      </c>
      <c r="M16" s="95">
        <v>0</v>
      </c>
      <c r="N16" s="76">
        <v>0</v>
      </c>
      <c r="O16" s="95">
        <v>0</v>
      </c>
      <c r="P16" s="76">
        <v>0</v>
      </c>
      <c r="Q16" s="134">
        <v>0</v>
      </c>
      <c r="R16" s="51">
        <v>0</v>
      </c>
      <c r="S16" s="51">
        <v>0</v>
      </c>
      <c r="T16" s="76">
        <v>2.1770545946068899E-2</v>
      </c>
      <c r="U16" s="95">
        <v>22.995079270015399</v>
      </c>
    </row>
    <row r="17" spans="1:21" x14ac:dyDescent="0.3">
      <c r="A17" s="74">
        <v>30</v>
      </c>
      <c r="B17" s="76">
        <v>1.2849841373942901</v>
      </c>
      <c r="C17" s="95">
        <v>19.643664119933899</v>
      </c>
      <c r="D17" s="76">
        <v>0</v>
      </c>
      <c r="E17" s="95">
        <v>0</v>
      </c>
      <c r="F17" s="76">
        <v>0</v>
      </c>
      <c r="G17" s="95">
        <v>0</v>
      </c>
      <c r="H17" s="76">
        <v>2.9227492352270601</v>
      </c>
      <c r="I17" s="95">
        <v>22.198129421172599</v>
      </c>
      <c r="J17" s="76">
        <v>3.1020821238516998</v>
      </c>
      <c r="K17" s="134">
        <v>21.669758851890201</v>
      </c>
      <c r="L17" s="51">
        <v>0</v>
      </c>
      <c r="M17" s="95">
        <v>0</v>
      </c>
      <c r="N17" s="76">
        <v>0</v>
      </c>
      <c r="O17" s="95">
        <v>0</v>
      </c>
      <c r="P17" s="76">
        <v>0</v>
      </c>
      <c r="Q17" s="134">
        <v>0</v>
      </c>
      <c r="R17" s="51">
        <v>0</v>
      </c>
      <c r="S17" s="51">
        <v>0</v>
      </c>
      <c r="T17" s="76">
        <v>1.9927452859619599E-2</v>
      </c>
      <c r="U17" s="95">
        <v>20.495013377032599</v>
      </c>
    </row>
    <row r="18" spans="1:21" x14ac:dyDescent="0.3">
      <c r="A18" s="74">
        <v>40</v>
      </c>
      <c r="B18" s="76">
        <v>1.2846351680288</v>
      </c>
      <c r="C18" s="95">
        <v>19.639627403633298</v>
      </c>
      <c r="D18" s="76">
        <v>0</v>
      </c>
      <c r="E18" s="95">
        <v>0</v>
      </c>
      <c r="F18" s="76">
        <v>0</v>
      </c>
      <c r="G18" s="95">
        <v>0</v>
      </c>
      <c r="H18" s="76">
        <v>2.9219554899740898</v>
      </c>
      <c r="I18" s="95">
        <v>22.1937601691357</v>
      </c>
      <c r="J18" s="76">
        <v>3.09504481893774</v>
      </c>
      <c r="K18" s="134">
        <v>21.510423951080298</v>
      </c>
      <c r="L18" s="51">
        <v>0</v>
      </c>
      <c r="M18" s="95">
        <v>0</v>
      </c>
      <c r="N18" s="76">
        <v>0</v>
      </c>
      <c r="O18" s="95">
        <v>0</v>
      </c>
      <c r="P18" s="76">
        <v>0</v>
      </c>
      <c r="Q18" s="134">
        <v>0</v>
      </c>
      <c r="R18" s="51">
        <v>0</v>
      </c>
      <c r="S18" s="51">
        <v>0</v>
      </c>
      <c r="T18" s="76">
        <v>1.99752714295744E-2</v>
      </c>
      <c r="U18" s="95">
        <v>20.6450305535284</v>
      </c>
    </row>
    <row r="19" spans="1:21" x14ac:dyDescent="0.3">
      <c r="A19" s="74">
        <v>50</v>
      </c>
      <c r="B19" s="76">
        <v>1.2847592645461301</v>
      </c>
      <c r="C19" s="95">
        <v>19.668035216518199</v>
      </c>
      <c r="D19" s="76">
        <v>0</v>
      </c>
      <c r="E19" s="95">
        <v>0</v>
      </c>
      <c r="F19" s="76">
        <v>0</v>
      </c>
      <c r="G19" s="95">
        <v>0</v>
      </c>
      <c r="H19" s="76">
        <v>3.6912918780377999</v>
      </c>
      <c r="I19" s="95">
        <v>23.084256908406299</v>
      </c>
      <c r="J19" s="76">
        <v>3.9525730092285598</v>
      </c>
      <c r="K19" s="134">
        <v>22.841944438653801</v>
      </c>
      <c r="L19" s="51">
        <v>0</v>
      </c>
      <c r="M19" s="95">
        <v>0</v>
      </c>
      <c r="N19" s="76">
        <v>0</v>
      </c>
      <c r="O19" s="95">
        <v>0</v>
      </c>
      <c r="P19" s="76">
        <v>0</v>
      </c>
      <c r="Q19" s="134">
        <v>0</v>
      </c>
      <c r="R19" s="51">
        <v>0</v>
      </c>
      <c r="S19" s="51">
        <v>0</v>
      </c>
      <c r="T19" s="76">
        <v>2.0116081589154799E-2</v>
      </c>
      <c r="U19" s="95">
        <v>21.065470463475499</v>
      </c>
    </row>
    <row r="20" spans="1:21" x14ac:dyDescent="0.3">
      <c r="A20" s="74">
        <v>60</v>
      </c>
      <c r="B20" s="76">
        <v>1.2845928020369199</v>
      </c>
      <c r="C20" s="95">
        <v>19.6656378244706</v>
      </c>
      <c r="D20" s="76">
        <v>0</v>
      </c>
      <c r="E20" s="95">
        <v>0</v>
      </c>
      <c r="F20" s="76">
        <v>0</v>
      </c>
      <c r="G20" s="95">
        <v>0</v>
      </c>
      <c r="H20" s="76">
        <v>3.4857376551108699</v>
      </c>
      <c r="I20" s="95">
        <v>22.852197719645801</v>
      </c>
      <c r="J20" s="76">
        <v>3.6970202421252298</v>
      </c>
      <c r="K20" s="134">
        <v>22.499598476959498</v>
      </c>
      <c r="L20" s="51">
        <v>0</v>
      </c>
      <c r="M20" s="95">
        <v>0</v>
      </c>
      <c r="N20" s="76">
        <v>0</v>
      </c>
      <c r="O20" s="95">
        <v>0</v>
      </c>
      <c r="P20" s="76">
        <v>0</v>
      </c>
      <c r="Q20" s="134">
        <v>0</v>
      </c>
      <c r="R20" s="51">
        <v>0</v>
      </c>
      <c r="S20" s="51">
        <v>0</v>
      </c>
      <c r="T20" s="76">
        <v>1.9453755902805601E-2</v>
      </c>
      <c r="U20" s="95">
        <v>19.9203227139446</v>
      </c>
    </row>
    <row r="21" spans="1:21" x14ac:dyDescent="0.3">
      <c r="A21" s="74">
        <v>70</v>
      </c>
      <c r="B21" s="76">
        <v>1.28493110341765</v>
      </c>
      <c r="C21" s="95">
        <v>19.6705069528828</v>
      </c>
      <c r="D21" s="76">
        <v>0</v>
      </c>
      <c r="E21" s="95">
        <v>0</v>
      </c>
      <c r="F21" s="76">
        <v>0</v>
      </c>
      <c r="G21" s="95">
        <v>0</v>
      </c>
      <c r="H21" s="76">
        <v>2.92262860652662</v>
      </c>
      <c r="I21" s="95">
        <v>22.226549652977202</v>
      </c>
      <c r="J21" s="76">
        <v>3.0930267159530902</v>
      </c>
      <c r="K21" s="134">
        <v>21.6268399319687</v>
      </c>
      <c r="L21" s="51">
        <v>0</v>
      </c>
      <c r="M21" s="95">
        <v>0</v>
      </c>
      <c r="N21" s="76">
        <v>0</v>
      </c>
      <c r="O21" s="95">
        <v>0</v>
      </c>
      <c r="P21" s="76">
        <v>0</v>
      </c>
      <c r="Q21" s="134">
        <v>0</v>
      </c>
      <c r="R21" s="51">
        <v>0</v>
      </c>
      <c r="S21" s="51">
        <v>0</v>
      </c>
      <c r="T21" s="76">
        <v>1.9852726855852199E-2</v>
      </c>
      <c r="U21" s="95">
        <v>20.497736013451199</v>
      </c>
    </row>
    <row r="22" spans="1:21" x14ac:dyDescent="0.3">
      <c r="A22" s="74">
        <v>80</v>
      </c>
      <c r="B22" s="76">
        <v>1.2851282054673601</v>
      </c>
      <c r="C22" s="95">
        <v>19.6654702472431</v>
      </c>
      <c r="D22" s="76">
        <v>0</v>
      </c>
      <c r="E22" s="95">
        <v>0</v>
      </c>
      <c r="F22" s="76">
        <v>0</v>
      </c>
      <c r="G22" s="95">
        <v>0</v>
      </c>
      <c r="H22" s="76">
        <v>2.9230769229240101</v>
      </c>
      <c r="I22" s="95">
        <v>22.221266499342999</v>
      </c>
      <c r="J22" s="76">
        <v>3.09623268216906</v>
      </c>
      <c r="K22" s="134">
        <v>21.5392912127902</v>
      </c>
      <c r="L22" s="51">
        <v>0</v>
      </c>
      <c r="M22" s="95">
        <v>0</v>
      </c>
      <c r="N22" s="76">
        <v>0</v>
      </c>
      <c r="O22" s="95">
        <v>0</v>
      </c>
      <c r="P22" s="76">
        <v>0</v>
      </c>
      <c r="Q22" s="134">
        <v>0</v>
      </c>
      <c r="R22" s="51">
        <v>0</v>
      </c>
      <c r="S22" s="51">
        <v>0</v>
      </c>
      <c r="T22" s="76">
        <v>1.9950988833500102E-2</v>
      </c>
      <c r="U22" s="95">
        <v>20.6740040201935</v>
      </c>
    </row>
    <row r="23" spans="1:21" x14ac:dyDescent="0.3">
      <c r="A23" s="74">
        <v>90</v>
      </c>
      <c r="B23" s="76">
        <v>1.2848927103173799</v>
      </c>
      <c r="C23" s="95">
        <v>19.626690679302399</v>
      </c>
      <c r="D23" s="76">
        <v>0</v>
      </c>
      <c r="E23" s="95">
        <v>0</v>
      </c>
      <c r="F23" s="76">
        <v>0</v>
      </c>
      <c r="G23" s="95">
        <v>0</v>
      </c>
      <c r="H23" s="76">
        <v>2.9225412804870201</v>
      </c>
      <c r="I23" s="95">
        <v>22.1801253225503</v>
      </c>
      <c r="J23" s="76">
        <v>3.09566530986615</v>
      </c>
      <c r="K23" s="134">
        <v>21.495922631475899</v>
      </c>
      <c r="L23" s="51">
        <v>0</v>
      </c>
      <c r="M23" s="95">
        <v>0</v>
      </c>
      <c r="N23" s="76">
        <v>0</v>
      </c>
      <c r="O23" s="95">
        <v>0</v>
      </c>
      <c r="P23" s="76">
        <v>0</v>
      </c>
      <c r="Q23" s="134">
        <v>0</v>
      </c>
      <c r="R23" s="51">
        <v>0</v>
      </c>
      <c r="S23" s="51">
        <v>0</v>
      </c>
      <c r="T23" s="76">
        <v>1.99261134250577E-2</v>
      </c>
      <c r="U23" s="95">
        <v>20.6304901277705</v>
      </c>
    </row>
    <row r="24" spans="1:21" x14ac:dyDescent="0.3">
      <c r="A24" s="74">
        <v>100</v>
      </c>
      <c r="B24" s="76">
        <v>1.2848902317030799</v>
      </c>
      <c r="C24" s="95">
        <v>19.6266547531966</v>
      </c>
      <c r="D24" s="76">
        <v>0</v>
      </c>
      <c r="E24" s="95">
        <v>0</v>
      </c>
      <c r="F24" s="76">
        <v>0</v>
      </c>
      <c r="G24" s="95">
        <v>0</v>
      </c>
      <c r="H24" s="76">
        <v>2.9225356424086799</v>
      </c>
      <c r="I24" s="95">
        <v>22.1800865953144</v>
      </c>
      <c r="J24" s="76">
        <v>3.09565933821077</v>
      </c>
      <c r="K24" s="134">
        <v>21.4958826567883</v>
      </c>
      <c r="L24" s="51">
        <v>0</v>
      </c>
      <c r="M24" s="95">
        <v>0</v>
      </c>
      <c r="N24" s="76">
        <v>0</v>
      </c>
      <c r="O24" s="95">
        <v>0</v>
      </c>
      <c r="P24" s="76">
        <v>0</v>
      </c>
      <c r="Q24" s="134">
        <v>0</v>
      </c>
      <c r="R24" s="51">
        <v>0</v>
      </c>
      <c r="S24" s="51">
        <v>0</v>
      </c>
      <c r="T24" s="76">
        <v>1.9925999018745699E-2</v>
      </c>
      <c r="U24" s="95">
        <v>20.630450538882702</v>
      </c>
    </row>
    <row r="25" spans="1:21" x14ac:dyDescent="0.3">
      <c r="A25" s="74">
        <v>110</v>
      </c>
      <c r="B25" s="76">
        <v>1.28499666473554</v>
      </c>
      <c r="C25" s="95">
        <v>19.628197205330601</v>
      </c>
      <c r="D25" s="76">
        <v>0</v>
      </c>
      <c r="E25" s="95">
        <v>0</v>
      </c>
      <c r="F25" s="76">
        <v>0</v>
      </c>
      <c r="G25" s="95">
        <v>0</v>
      </c>
      <c r="H25" s="76">
        <v>2.9227777293167301</v>
      </c>
      <c r="I25" s="95">
        <v>22.1817491935651</v>
      </c>
      <c r="J25" s="76">
        <v>3.0959157657928702</v>
      </c>
      <c r="K25" s="134">
        <v>21.497598815868901</v>
      </c>
      <c r="L25" s="51">
        <v>0</v>
      </c>
      <c r="M25" s="95">
        <v>0</v>
      </c>
      <c r="N25" s="76">
        <v>0</v>
      </c>
      <c r="O25" s="95">
        <v>0</v>
      </c>
      <c r="P25" s="76">
        <v>0</v>
      </c>
      <c r="Q25" s="134">
        <v>0</v>
      </c>
      <c r="R25" s="51">
        <v>0</v>
      </c>
      <c r="S25" s="51">
        <v>0</v>
      </c>
      <c r="T25" s="76">
        <v>1.9936578282361901E-2</v>
      </c>
      <c r="U25" s="95">
        <v>20.632141049283401</v>
      </c>
    </row>
    <row r="26" spans="1:21" x14ac:dyDescent="0.3">
      <c r="A26" s="74">
        <v>120</v>
      </c>
      <c r="B26" s="76">
        <v>1.28512820470509</v>
      </c>
      <c r="C26" s="95">
        <v>19.630103447530399</v>
      </c>
      <c r="D26" s="76">
        <v>0</v>
      </c>
      <c r="E26" s="95">
        <v>0</v>
      </c>
      <c r="F26" s="76">
        <v>0</v>
      </c>
      <c r="G26" s="95">
        <v>0</v>
      </c>
      <c r="H26" s="76">
        <v>2.9230769224392001</v>
      </c>
      <c r="I26" s="95">
        <v>22.183803911175598</v>
      </c>
      <c r="J26" s="76">
        <v>3.0962326831949798</v>
      </c>
      <c r="K26" s="134">
        <v>21.499719720707599</v>
      </c>
      <c r="L26" s="51">
        <v>0</v>
      </c>
      <c r="M26" s="95">
        <v>0</v>
      </c>
      <c r="N26" s="76">
        <v>0</v>
      </c>
      <c r="O26" s="95">
        <v>0</v>
      </c>
      <c r="P26" s="76">
        <v>0</v>
      </c>
      <c r="Q26" s="134">
        <v>0</v>
      </c>
      <c r="R26" s="51">
        <v>0</v>
      </c>
      <c r="S26" s="51">
        <v>0</v>
      </c>
      <c r="T26" s="76">
        <v>1.9950988835184098E-2</v>
      </c>
      <c r="U26" s="95">
        <v>20.634228122293699</v>
      </c>
    </row>
    <row r="27" spans="1:21" x14ac:dyDescent="0.3">
      <c r="A27" s="74">
        <v>130</v>
      </c>
      <c r="B27" s="76">
        <v>1.28512820469128</v>
      </c>
      <c r="C27" s="95">
        <v>19.630103430970099</v>
      </c>
      <c r="D27" s="76">
        <v>0</v>
      </c>
      <c r="E27" s="95">
        <v>0</v>
      </c>
      <c r="F27" s="76">
        <v>0</v>
      </c>
      <c r="G27" s="95">
        <v>0</v>
      </c>
      <c r="H27" s="76">
        <v>2.9230769224077302</v>
      </c>
      <c r="I27" s="95">
        <v>22.183803894564999</v>
      </c>
      <c r="J27" s="76">
        <v>3.0962326831616198</v>
      </c>
      <c r="K27" s="134">
        <v>21.4997196984882</v>
      </c>
      <c r="L27" s="51">
        <v>0</v>
      </c>
      <c r="M27" s="95">
        <v>0</v>
      </c>
      <c r="N27" s="76">
        <v>0</v>
      </c>
      <c r="O27" s="95">
        <v>0</v>
      </c>
      <c r="P27" s="76">
        <v>0</v>
      </c>
      <c r="Q27" s="134">
        <v>0</v>
      </c>
      <c r="R27" s="51">
        <v>0</v>
      </c>
      <c r="S27" s="51">
        <v>0</v>
      </c>
      <c r="T27" s="76">
        <v>1.9950988834921201E-2</v>
      </c>
      <c r="U27" s="95">
        <v>20.6342281147063</v>
      </c>
    </row>
    <row r="28" spans="1:21" x14ac:dyDescent="0.3">
      <c r="A28" s="74">
        <v>140</v>
      </c>
      <c r="B28" s="76">
        <v>1.2851282047188299</v>
      </c>
      <c r="C28" s="95">
        <v>19.6301034142746</v>
      </c>
      <c r="D28" s="76">
        <v>0</v>
      </c>
      <c r="E28" s="95">
        <v>0</v>
      </c>
      <c r="F28" s="76">
        <v>0</v>
      </c>
      <c r="G28" s="95">
        <v>0</v>
      </c>
      <c r="H28" s="76">
        <v>2.9230769224702602</v>
      </c>
      <c r="I28" s="95">
        <v>22.183803877823699</v>
      </c>
      <c r="J28" s="76">
        <v>3.0962326832278499</v>
      </c>
      <c r="K28" s="134">
        <v>21.499719681858</v>
      </c>
      <c r="L28" s="51">
        <v>0</v>
      </c>
      <c r="M28" s="95">
        <v>0</v>
      </c>
      <c r="N28" s="76">
        <v>0</v>
      </c>
      <c r="O28" s="95">
        <v>0</v>
      </c>
      <c r="P28" s="76">
        <v>0</v>
      </c>
      <c r="Q28" s="134">
        <v>0</v>
      </c>
      <c r="R28" s="51">
        <v>0</v>
      </c>
      <c r="S28" s="51">
        <v>0</v>
      </c>
      <c r="T28" s="76">
        <v>1.9950988835397299E-2</v>
      </c>
      <c r="U28" s="95">
        <v>20.6342281075686</v>
      </c>
    </row>
    <row r="29" spans="1:21" x14ac:dyDescent="0.3">
      <c r="A29" s="74">
        <v>150</v>
      </c>
      <c r="B29" s="76">
        <v>1.2848605771208499</v>
      </c>
      <c r="C29" s="95">
        <v>19.6262252890163</v>
      </c>
      <c r="D29" s="76">
        <v>0</v>
      </c>
      <c r="E29" s="95">
        <v>0</v>
      </c>
      <c r="F29" s="76">
        <v>0</v>
      </c>
      <c r="G29" s="95">
        <v>0</v>
      </c>
      <c r="H29" s="76">
        <v>2.92246819250478</v>
      </c>
      <c r="I29" s="95">
        <v>22.1796237103122</v>
      </c>
      <c r="J29" s="76">
        <v>3.0955878933699301</v>
      </c>
      <c r="K29" s="134">
        <v>21.495404906024</v>
      </c>
      <c r="L29" s="51">
        <v>0</v>
      </c>
      <c r="M29" s="95">
        <v>0</v>
      </c>
      <c r="N29" s="76">
        <v>0</v>
      </c>
      <c r="O29" s="95">
        <v>0</v>
      </c>
      <c r="P29" s="76">
        <v>0</v>
      </c>
      <c r="Q29" s="134">
        <v>0</v>
      </c>
      <c r="R29" s="51">
        <v>0</v>
      </c>
      <c r="S29" s="51">
        <v>0</v>
      </c>
      <c r="T29" s="76">
        <v>1.9957239071672499E-2</v>
      </c>
      <c r="U29" s="95">
        <v>20.629925164273899</v>
      </c>
    </row>
    <row r="30" spans="1:21" x14ac:dyDescent="0.3">
      <c r="A30" s="74">
        <v>160</v>
      </c>
      <c r="B30" s="76">
        <v>1.28341522102842</v>
      </c>
      <c r="C30" s="95">
        <v>19.605278960592202</v>
      </c>
      <c r="D30" s="76">
        <v>0</v>
      </c>
      <c r="E30" s="95">
        <v>0</v>
      </c>
      <c r="F30" s="76">
        <v>0</v>
      </c>
      <c r="G30" s="95">
        <v>0</v>
      </c>
      <c r="H30" s="76">
        <v>2.9191806702015</v>
      </c>
      <c r="I30" s="95">
        <v>22.157045881313099</v>
      </c>
      <c r="J30" s="76">
        <v>3.0921056257244</v>
      </c>
      <c r="K30" s="134">
        <v>21.4720997769045</v>
      </c>
      <c r="L30" s="51">
        <v>0</v>
      </c>
      <c r="M30" s="95">
        <v>0</v>
      </c>
      <c r="N30" s="76">
        <v>0</v>
      </c>
      <c r="O30" s="95">
        <v>0</v>
      </c>
      <c r="P30" s="76">
        <v>0</v>
      </c>
      <c r="Q30" s="134">
        <v>0</v>
      </c>
      <c r="R30" s="51">
        <v>0</v>
      </c>
      <c r="S30" s="51">
        <v>0</v>
      </c>
      <c r="T30" s="76">
        <v>1.9976172997950001E-2</v>
      </c>
      <c r="U30" s="95">
        <v>20.606707821523599</v>
      </c>
    </row>
    <row r="31" spans="1:21" x14ac:dyDescent="0.3">
      <c r="A31" s="74">
        <v>170</v>
      </c>
      <c r="B31" s="76">
        <v>0.72898897423034703</v>
      </c>
      <c r="C31" s="95">
        <v>11.1351761954061</v>
      </c>
      <c r="D31" s="76">
        <v>0</v>
      </c>
      <c r="E31" s="95">
        <v>0</v>
      </c>
      <c r="F31" s="76">
        <v>0</v>
      </c>
      <c r="G31" s="95">
        <v>0</v>
      </c>
      <c r="H31" s="76">
        <v>1.65811538458876</v>
      </c>
      <c r="I31" s="95">
        <v>12.583762784801699</v>
      </c>
      <c r="J31" s="76">
        <v>1.7563379892128901</v>
      </c>
      <c r="K31" s="134">
        <v>12.195716026247201</v>
      </c>
      <c r="L31" s="51">
        <v>0</v>
      </c>
      <c r="M31" s="95">
        <v>0</v>
      </c>
      <c r="N31" s="76">
        <v>0</v>
      </c>
      <c r="O31" s="95">
        <v>0</v>
      </c>
      <c r="P31" s="76">
        <v>0</v>
      </c>
      <c r="Q31" s="134">
        <v>0</v>
      </c>
      <c r="R31" s="51">
        <v>0</v>
      </c>
      <c r="S31" s="51">
        <v>0</v>
      </c>
      <c r="T31" s="76">
        <v>1.13171984154654E-2</v>
      </c>
      <c r="U31" s="95">
        <v>11.7047659049147</v>
      </c>
    </row>
    <row r="32" spans="1:21" x14ac:dyDescent="0.3">
      <c r="A32" s="74">
        <v>171.345</v>
      </c>
      <c r="B32" s="76">
        <v>8.6424871826302804E-2</v>
      </c>
      <c r="C32" s="95">
        <v>1.3201244591793699</v>
      </c>
      <c r="D32" s="76">
        <v>0</v>
      </c>
      <c r="E32" s="95">
        <v>0</v>
      </c>
      <c r="F32" s="76">
        <v>0</v>
      </c>
      <c r="G32" s="95">
        <v>0</v>
      </c>
      <c r="H32" s="76">
        <v>0.19657692317995201</v>
      </c>
      <c r="I32" s="95">
        <v>1.4918608156278399</v>
      </c>
      <c r="J32" s="76">
        <v>0.208221648018271</v>
      </c>
      <c r="K32" s="134">
        <v>1.4458561536135</v>
      </c>
      <c r="L32" s="51">
        <v>0</v>
      </c>
      <c r="M32" s="95">
        <v>0</v>
      </c>
      <c r="N32" s="76">
        <v>0</v>
      </c>
      <c r="O32" s="95">
        <v>0</v>
      </c>
      <c r="P32" s="76">
        <v>0</v>
      </c>
      <c r="Q32" s="134">
        <v>0</v>
      </c>
      <c r="R32" s="51">
        <v>0</v>
      </c>
      <c r="S32" s="51">
        <v>0</v>
      </c>
      <c r="T32" s="76">
        <v>1.3417039997474199E-3</v>
      </c>
      <c r="U32" s="95">
        <v>1.3876518423356601</v>
      </c>
    </row>
  </sheetData>
  <mergeCells count="10">
    <mergeCell ref="P11:Q11"/>
    <mergeCell ref="T11:U11"/>
    <mergeCell ref="B11:C11"/>
    <mergeCell ref="D11:E11"/>
    <mergeCell ref="F11:G11"/>
    <mergeCell ref="H11:I11"/>
    <mergeCell ref="J11:K11"/>
    <mergeCell ref="N11:O11"/>
    <mergeCell ref="R11:S11"/>
    <mergeCell ref="L11:M11"/>
  </mergeCells>
  <conditionalFormatting sqref="B11:B12 G12 D11:D12 E12 I12 F11:F12 K12 H11:H12 J11:J12 C12">
    <cfRule type="cellIs" dxfId="12" priority="10" stopIfTrue="1" operator="equal">
      <formula>0</formula>
    </cfRule>
  </conditionalFormatting>
  <conditionalFormatting sqref="L12:M12">
    <cfRule type="cellIs" dxfId="11" priority="9" stopIfTrue="1" operator="equal">
      <formula>0</formula>
    </cfRule>
  </conditionalFormatting>
  <conditionalFormatting sqref="N12:O12">
    <cfRule type="cellIs" dxfId="10" priority="8" stopIfTrue="1" operator="equal">
      <formula>0</formula>
    </cfRule>
  </conditionalFormatting>
  <conditionalFormatting sqref="P12:Q12">
    <cfRule type="cellIs" dxfId="9" priority="7" stopIfTrue="1" operator="equal">
      <formula>0</formula>
    </cfRule>
  </conditionalFormatting>
  <conditionalFormatting sqref="R12:S12">
    <cfRule type="cellIs" dxfId="8" priority="6" stopIfTrue="1" operator="equal">
      <formula>0</formula>
    </cfRule>
  </conditionalFormatting>
  <conditionalFormatting sqref="T12:U12">
    <cfRule type="cellIs" dxfId="7" priority="5" stopIfTrue="1" operator="equal">
      <formula>0</formula>
    </cfRule>
  </conditionalFormatting>
  <conditionalFormatting sqref="L11">
    <cfRule type="cellIs" dxfId="6" priority="4" stopIfTrue="1" operator="equal">
      <formula>0</formula>
    </cfRule>
  </conditionalFormatting>
  <conditionalFormatting sqref="N11 P11">
    <cfRule type="cellIs" dxfId="5" priority="3" stopIfTrue="1" operator="equal">
      <formula>0</formula>
    </cfRule>
  </conditionalFormatting>
  <conditionalFormatting sqref="R11">
    <cfRule type="cellIs" dxfId="4" priority="2" stopIfTrue="1" operator="equal">
      <formula>0</formula>
    </cfRule>
  </conditionalFormatting>
  <conditionalFormatting sqref="T11">
    <cfRule type="cellIs" dxfId="3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103" customWidth="1"/>
    <col min="2" max="2" width="13.7265625" style="76" customWidth="1"/>
    <col min="3" max="3" width="12" style="74" customWidth="1"/>
    <col min="4" max="4" width="11.81640625" style="51" customWidth="1"/>
    <col min="5" max="5" width="12.26953125" style="74" customWidth="1"/>
    <col min="6" max="6" width="12.6328125" style="51" customWidth="1"/>
    <col min="7" max="7" width="12.81640625" style="74" customWidth="1"/>
    <col min="8" max="8" width="13.6328125" style="51" customWidth="1"/>
    <col min="9" max="9" width="14.7265625" style="156" customWidth="1"/>
    <col min="10" max="10" width="15.7265625" style="74" customWidth="1"/>
    <col min="11" max="11" width="15.7265625" style="51" customWidth="1"/>
    <col min="12" max="12" width="12.7265625" style="74" customWidth="1"/>
    <col min="13" max="15" width="11.6328125" style="51" customWidth="1"/>
    <col min="16" max="16384" width="11.6328125" style="51"/>
  </cols>
  <sheetData>
    <row r="1" spans="1:12" ht="45" customHeight="1" x14ac:dyDescent="0.6">
      <c r="A1" s="96"/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</row>
    <row r="2" spans="1:12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149999999999999" customHeight="1" x14ac:dyDescent="0.35">
      <c r="A3" s="152" t="s">
        <v>52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3"/>
    </row>
    <row r="4" spans="1:12" ht="16.149999999999999" customHeight="1" x14ac:dyDescent="0.35">
      <c r="A4" s="97" t="s">
        <v>8</v>
      </c>
      <c r="B4" s="55" t="str">
        <f>Sammendrag!B4</f>
        <v>Veg 2</v>
      </c>
      <c r="C4" s="56"/>
      <c r="D4" s="56"/>
      <c r="E4" s="56"/>
      <c r="F4" s="56"/>
      <c r="G4" s="56"/>
      <c r="H4" s="56"/>
      <c r="I4" s="56"/>
      <c r="J4" s="56"/>
      <c r="K4" s="56"/>
      <c r="L4" s="53"/>
    </row>
    <row r="5" spans="1:12" ht="15" customHeight="1" x14ac:dyDescent="0.3">
      <c r="A5" s="98"/>
      <c r="B5" s="56" t="str">
        <f>IF(Sammendrag!B5="","",Sammendrag!B5)</f>
        <v/>
      </c>
      <c r="C5" s="56"/>
      <c r="D5" s="56"/>
      <c r="E5" s="56"/>
      <c r="F5" s="56"/>
      <c r="G5" s="56" t="str">
        <f>Sammendrag!F5</f>
        <v>Start profil:</v>
      </c>
      <c r="H5" s="56"/>
      <c r="I5" s="15">
        <f>Sammendrag!H5</f>
        <v>1.1000000000000001</v>
      </c>
      <c r="J5" s="56"/>
      <c r="K5" s="56"/>
      <c r="L5" s="53"/>
    </row>
    <row r="6" spans="1:12" ht="15" customHeight="1" x14ac:dyDescent="0.3">
      <c r="A6" s="98"/>
      <c r="B6" s="56"/>
      <c r="C6" s="56"/>
      <c r="D6" s="56"/>
      <c r="E6" s="56"/>
      <c r="F6" s="56"/>
      <c r="G6" s="56" t="str">
        <f>Sammendrag!F6</f>
        <v>Slutt profil:</v>
      </c>
      <c r="H6" s="56"/>
      <c r="I6" s="15">
        <f>Sammendrag!H6</f>
        <v>171.345</v>
      </c>
      <c r="J6" s="56"/>
      <c r="K6" s="56"/>
      <c r="L6" s="53"/>
    </row>
    <row r="7" spans="1:12" ht="15" customHeight="1" x14ac:dyDescent="0.3">
      <c r="A7" s="98"/>
      <c r="B7" s="56"/>
      <c r="C7" s="56"/>
      <c r="D7" s="56"/>
      <c r="E7" s="56"/>
      <c r="F7" s="56"/>
      <c r="G7" s="56" t="str">
        <f>Sammendrag!F7</f>
        <v>Dato sist endret:</v>
      </c>
      <c r="H7" s="56"/>
      <c r="I7" s="58" t="str">
        <f>Sammendrag!H7</f>
        <v>5/8/2020 1:05:25 PM</v>
      </c>
      <c r="J7" s="56"/>
      <c r="K7" s="56"/>
      <c r="L7" s="53"/>
    </row>
    <row r="8" spans="1:12" ht="15" customHeight="1" x14ac:dyDescent="0.3">
      <c r="A8" s="98"/>
      <c r="B8" s="56"/>
      <c r="C8" s="56"/>
      <c r="D8" s="56"/>
      <c r="E8" s="56"/>
      <c r="F8" s="56"/>
      <c r="G8" s="56"/>
      <c r="H8" s="56"/>
      <c r="I8" s="56"/>
      <c r="J8" s="56"/>
      <c r="K8" s="56"/>
      <c r="L8" s="53"/>
    </row>
    <row r="9" spans="1:12" ht="15" customHeight="1" x14ac:dyDescent="0.3">
      <c r="A9" s="99"/>
      <c r="B9" s="19"/>
      <c r="C9" s="19"/>
      <c r="D9" s="19"/>
      <c r="E9" s="19"/>
      <c r="F9" s="19"/>
      <c r="G9" s="19"/>
      <c r="H9" s="19"/>
      <c r="I9" s="19"/>
      <c r="J9" s="19"/>
      <c r="K9" s="19"/>
      <c r="L9" s="51"/>
    </row>
    <row r="10" spans="1:12" ht="15" customHeight="1" x14ac:dyDescent="0.3">
      <c r="A10" s="9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51"/>
    </row>
    <row r="11" spans="1:12" x14ac:dyDescent="0.3">
      <c r="A11" s="100"/>
      <c r="B11" s="61"/>
      <c r="C11" s="61"/>
      <c r="D11" s="61"/>
      <c r="E11" s="61"/>
      <c r="F11" s="61"/>
      <c r="G11" s="61"/>
      <c r="H11" s="61"/>
      <c r="I11" s="157"/>
      <c r="J11" s="61"/>
      <c r="K11" s="61"/>
      <c r="L11" s="101"/>
    </row>
    <row r="12" spans="1:12" ht="39" customHeight="1" thickBot="1" x14ac:dyDescent="0.35">
      <c r="A12" s="66" t="s">
        <v>25</v>
      </c>
      <c r="B12" s="148" t="s">
        <v>93</v>
      </c>
      <c r="C12" s="148" t="s">
        <v>94</v>
      </c>
      <c r="D12" s="148" t="s">
        <v>103</v>
      </c>
      <c r="E12" s="148" t="s">
        <v>104</v>
      </c>
      <c r="F12" s="148" t="s">
        <v>105</v>
      </c>
      <c r="G12" s="148" t="s">
        <v>106</v>
      </c>
      <c r="H12" s="148" t="s">
        <v>107</v>
      </c>
      <c r="I12" s="148" t="s">
        <v>86</v>
      </c>
      <c r="J12" s="148" t="s">
        <v>87</v>
      </c>
      <c r="K12" s="148" t="s">
        <v>88</v>
      </c>
      <c r="L12" s="149" t="s">
        <v>89</v>
      </c>
    </row>
    <row r="13" spans="1:12" ht="16.149999999999999" customHeight="1" thickTop="1" x14ac:dyDescent="0.3">
      <c r="A13" s="102" t="s">
        <v>26</v>
      </c>
      <c r="B13" s="71">
        <f ca="1">SUM([0]!Areas_SG0)</f>
        <v>339.2083125283562</v>
      </c>
      <c r="C13" s="71">
        <f ca="1">SUM([0]!Areas_SG1)</f>
        <v>71.276501375382622</v>
      </c>
      <c r="D13" s="71">
        <f ca="1">SUM([0]!Areas_SG2)</f>
        <v>100.69587574000002</v>
      </c>
      <c r="E13" s="71">
        <f ca="1">SUM([0]!Areas_SG3)</f>
        <v>100.65260675181696</v>
      </c>
      <c r="F13" s="71">
        <f ca="1">SUM([0]!Areas_SG4)</f>
        <v>0</v>
      </c>
      <c r="G13" s="71">
        <f ca="1">SUM([0]!Areas_SG5)</f>
        <v>48.932587018527279</v>
      </c>
      <c r="H13" s="70">
        <f ca="1">SUM([0]!Areas_SG6)</f>
        <v>0</v>
      </c>
      <c r="I13" s="155">
        <f ca="1">SUM([0]!Areas_RB_SoilCut)</f>
        <v>2.5348910172107644</v>
      </c>
      <c r="J13" s="71">
        <f ca="1">SUM([0]!Areas_RB_RockCut)</f>
        <v>346.24724129927137</v>
      </c>
      <c r="K13" s="71">
        <f ca="1">SUM([0]!Areas_RB_Fill)</f>
        <v>140.89381618683382</v>
      </c>
      <c r="L13" s="71">
        <f ca="1">SUM([0]!Areas_Rock_trimming)</f>
        <v>340.26450114117392</v>
      </c>
    </row>
    <row r="14" spans="1:12" x14ac:dyDescent="0.3">
      <c r="A14" s="103">
        <v>1.1000000000000001</v>
      </c>
      <c r="B14" s="74">
        <v>70.189183531925295</v>
      </c>
      <c r="C14" s="134">
        <v>4.4534683748811297</v>
      </c>
      <c r="D14" s="51">
        <f>1.17192896+0.01769334</f>
        <v>1.1896222999999999</v>
      </c>
      <c r="E14" s="74">
        <v>0.164798719105747</v>
      </c>
      <c r="F14" s="74">
        <v>0</v>
      </c>
      <c r="G14" s="74">
        <v>12.861465806021201</v>
      </c>
      <c r="H14" s="76">
        <v>0</v>
      </c>
      <c r="I14" s="156">
        <v>9.9911258019191401E-2</v>
      </c>
      <c r="J14" s="74">
        <v>3.6685980787291701</v>
      </c>
      <c r="K14" s="51">
        <v>73.509219422095001</v>
      </c>
      <c r="L14" s="74">
        <v>0</v>
      </c>
    </row>
    <row r="15" spans="1:12" x14ac:dyDescent="0.3">
      <c r="A15" s="103">
        <v>10</v>
      </c>
      <c r="B15" s="74">
        <v>47.609092176749201</v>
      </c>
      <c r="C15" s="134">
        <v>4.1555461790938297</v>
      </c>
      <c r="D15" s="51">
        <f>0+0</f>
        <v>0</v>
      </c>
      <c r="E15" s="74">
        <v>0</v>
      </c>
      <c r="F15" s="74">
        <v>0</v>
      </c>
      <c r="G15" s="74">
        <v>17.261245903688899</v>
      </c>
      <c r="H15" s="76">
        <v>0</v>
      </c>
      <c r="I15" s="156">
        <v>0</v>
      </c>
      <c r="J15" s="74">
        <v>0</v>
      </c>
      <c r="K15" s="51">
        <v>56.377153164564398</v>
      </c>
      <c r="L15" s="74">
        <v>0</v>
      </c>
    </row>
    <row r="16" spans="1:12" x14ac:dyDescent="0.3">
      <c r="A16" s="103">
        <v>20</v>
      </c>
      <c r="B16" s="74">
        <v>16.142253310310899</v>
      </c>
      <c r="C16" s="134">
        <v>4.0195196377036799</v>
      </c>
      <c r="D16" s="51">
        <f>1.25765442+0.26002774</f>
        <v>1.5176821599999999</v>
      </c>
      <c r="E16" s="74">
        <v>0.77738165997570896</v>
      </c>
      <c r="F16" s="74">
        <v>0</v>
      </c>
      <c r="G16" s="74">
        <v>8.0412592811666297</v>
      </c>
      <c r="H16" s="76">
        <v>0</v>
      </c>
      <c r="I16" s="156">
        <v>1.44421219341457</v>
      </c>
      <c r="J16" s="74">
        <v>13.7264461677005</v>
      </c>
      <c r="K16" s="51">
        <v>9.4779180900764608</v>
      </c>
      <c r="L16" s="74">
        <v>13.4409606918972</v>
      </c>
    </row>
    <row r="17" spans="1:12" x14ac:dyDescent="0.3">
      <c r="A17" s="103">
        <v>30</v>
      </c>
      <c r="B17" s="74">
        <v>14.0295857682197</v>
      </c>
      <c r="C17" s="134">
        <v>4.0084542133779903</v>
      </c>
      <c r="D17" s="51">
        <f>4.69638066+0.92667086</f>
        <v>5.6230515199999997</v>
      </c>
      <c r="E17" s="74">
        <v>7.9689922868100096</v>
      </c>
      <c r="F17" s="74">
        <v>0</v>
      </c>
      <c r="G17" s="74">
        <v>1.7204058201040799</v>
      </c>
      <c r="H17" s="76">
        <v>0</v>
      </c>
      <c r="I17" s="156">
        <v>0</v>
      </c>
      <c r="J17" s="74">
        <v>22.5280918308084</v>
      </c>
      <c r="K17" s="51">
        <v>0</v>
      </c>
      <c r="L17" s="74">
        <v>22.585418260514999</v>
      </c>
    </row>
    <row r="18" spans="1:12" x14ac:dyDescent="0.3">
      <c r="A18" s="103">
        <v>40</v>
      </c>
      <c r="B18" s="74">
        <v>14.0265652782975</v>
      </c>
      <c r="C18" s="134">
        <v>4.0075942524492598</v>
      </c>
      <c r="D18" s="51">
        <f>6.26132504+1.00065165</f>
        <v>7.26197669</v>
      </c>
      <c r="E18" s="74">
        <v>12.13229529573</v>
      </c>
      <c r="F18" s="74">
        <v>0</v>
      </c>
      <c r="G18" s="74">
        <v>0</v>
      </c>
      <c r="H18" s="76">
        <v>0</v>
      </c>
      <c r="I18" s="156">
        <v>0</v>
      </c>
      <c r="J18" s="74">
        <v>22.583961043329001</v>
      </c>
      <c r="K18" s="51">
        <v>0</v>
      </c>
      <c r="L18" s="74">
        <v>22.998476302308099</v>
      </c>
    </row>
    <row r="19" spans="1:12" x14ac:dyDescent="0.3">
      <c r="A19" s="103">
        <v>50</v>
      </c>
      <c r="B19" s="74">
        <v>14.0482457767847</v>
      </c>
      <c r="C19" s="134">
        <v>4.0137918956731102</v>
      </c>
      <c r="D19" s="51">
        <f>3.78816037+0.57251299</f>
        <v>4.3606733599999998</v>
      </c>
      <c r="E19" s="74">
        <v>1.0310299479184599</v>
      </c>
      <c r="F19" s="74">
        <v>0</v>
      </c>
      <c r="G19" s="74">
        <v>4.4054178500842296</v>
      </c>
      <c r="H19" s="76">
        <v>0</v>
      </c>
      <c r="I19" s="156">
        <v>0.45639622090273901</v>
      </c>
      <c r="J19" s="74">
        <v>21.343195024781501</v>
      </c>
      <c r="K19" s="51">
        <v>1.5295255100979499</v>
      </c>
      <c r="L19" s="74">
        <v>20.278874761881401</v>
      </c>
    </row>
    <row r="20" spans="1:12" x14ac:dyDescent="0.3">
      <c r="A20" s="103">
        <v>60</v>
      </c>
      <c r="B20" s="74">
        <v>14.0464435137465</v>
      </c>
      <c r="C20" s="134">
        <v>4.0132795912168104</v>
      </c>
      <c r="D20" s="51">
        <f>3.69288746+0.56371982</f>
        <v>4.2566072799999999</v>
      </c>
      <c r="E20" s="74">
        <v>0.72818719654335295</v>
      </c>
      <c r="F20" s="74">
        <v>0</v>
      </c>
      <c r="G20" s="74">
        <v>3.9042477243465701</v>
      </c>
      <c r="H20" s="76">
        <v>0</v>
      </c>
      <c r="I20" s="156">
        <v>0.53437134487426396</v>
      </c>
      <c r="J20" s="74">
        <v>22.3828771979212</v>
      </c>
      <c r="K20" s="51">
        <v>0</v>
      </c>
      <c r="L20" s="74">
        <v>21.472996443244099</v>
      </c>
    </row>
    <row r="21" spans="1:12" x14ac:dyDescent="0.3">
      <c r="A21" s="103">
        <v>70</v>
      </c>
      <c r="B21" s="74">
        <v>14.0501045756117</v>
      </c>
      <c r="C21" s="134">
        <v>4.01431947855788</v>
      </c>
      <c r="D21" s="51">
        <f>5.60707118+0.92322107</f>
        <v>6.5302922500000005</v>
      </c>
      <c r="E21" s="74">
        <v>6.0265088119701096</v>
      </c>
      <c r="F21" s="74">
        <v>0</v>
      </c>
      <c r="G21" s="74">
        <v>0.73854463311568297</v>
      </c>
      <c r="H21" s="76">
        <v>0</v>
      </c>
      <c r="I21" s="156">
        <v>0</v>
      </c>
      <c r="J21" s="74">
        <v>22.533923731837</v>
      </c>
      <c r="K21" s="51">
        <v>0</v>
      </c>
      <c r="L21" s="74">
        <v>22.353900868544802</v>
      </c>
    </row>
    <row r="22" spans="1:12" x14ac:dyDescent="0.3">
      <c r="A22" s="103">
        <v>80</v>
      </c>
      <c r="B22" s="74">
        <v>14.0462215387538</v>
      </c>
      <c r="C22" s="134">
        <v>4.0132061530483396</v>
      </c>
      <c r="D22" s="51">
        <f>6.26356596+1.00205487</f>
        <v>7.2656208300000005</v>
      </c>
      <c r="E22" s="74">
        <v>9.0042446770095204</v>
      </c>
      <c r="F22" s="74">
        <v>0</v>
      </c>
      <c r="G22" s="74">
        <v>0</v>
      </c>
      <c r="H22" s="76">
        <v>0</v>
      </c>
      <c r="I22" s="156">
        <v>0</v>
      </c>
      <c r="J22" s="74">
        <v>22.6131470805141</v>
      </c>
      <c r="K22" s="51">
        <v>0</v>
      </c>
      <c r="L22" s="74">
        <v>22.695936873935899</v>
      </c>
    </row>
    <row r="23" spans="1:12" x14ac:dyDescent="0.3">
      <c r="A23" s="103">
        <v>90</v>
      </c>
      <c r="B23" s="74">
        <v>14.016634130463199</v>
      </c>
      <c r="C23" s="134">
        <v>4.0047528274743804</v>
      </c>
      <c r="D23" s="51">
        <f>6.26068453+0.99993909</f>
        <v>7.2606236199999996</v>
      </c>
      <c r="E23" s="74">
        <v>7.8512095520201797</v>
      </c>
      <c r="F23" s="74">
        <v>0</v>
      </c>
      <c r="G23" s="74">
        <v>0</v>
      </c>
      <c r="H23" s="76">
        <v>0</v>
      </c>
      <c r="I23" s="156">
        <v>0</v>
      </c>
      <c r="J23" s="74">
        <v>22.569502201745699</v>
      </c>
      <c r="K23" s="51">
        <v>0</v>
      </c>
      <c r="L23" s="74">
        <v>22.577122646169599</v>
      </c>
    </row>
    <row r="24" spans="1:12" x14ac:dyDescent="0.3">
      <c r="A24" s="103">
        <v>100</v>
      </c>
      <c r="B24" s="74">
        <v>14.0166071509594</v>
      </c>
      <c r="C24" s="134">
        <v>4.0047451200632098</v>
      </c>
      <c r="D24" s="51">
        <f>6.2606797+0.99993716</f>
        <v>7.2606168599999998</v>
      </c>
      <c r="E24" s="74">
        <v>6.2093780872173001</v>
      </c>
      <c r="F24" s="74">
        <v>0</v>
      </c>
      <c r="G24" s="74">
        <v>0</v>
      </c>
      <c r="H24" s="76">
        <v>0</v>
      </c>
      <c r="I24" s="156">
        <v>0</v>
      </c>
      <c r="J24" s="74">
        <v>22.569461648657899</v>
      </c>
      <c r="K24" s="51">
        <v>0</v>
      </c>
      <c r="L24" s="74">
        <v>22.4137337050187</v>
      </c>
    </row>
    <row r="25" spans="1:12" x14ac:dyDescent="0.3">
      <c r="A25" s="103">
        <v>110</v>
      </c>
      <c r="B25" s="74">
        <v>14.0177655525522</v>
      </c>
      <c r="C25" s="134">
        <v>4.0050759975265198</v>
      </c>
      <c r="D25" s="51">
        <f>6.26088705+1.0000199</f>
        <v>7.2609069499999999</v>
      </c>
      <c r="E25" s="74">
        <v>6.1955705376529702</v>
      </c>
      <c r="F25" s="74">
        <v>0</v>
      </c>
      <c r="G25" s="74">
        <v>0</v>
      </c>
      <c r="H25" s="76">
        <v>0</v>
      </c>
      <c r="I25" s="156">
        <v>0</v>
      </c>
      <c r="J25" s="74">
        <v>22.571193563445899</v>
      </c>
      <c r="K25" s="51">
        <v>0</v>
      </c>
      <c r="L25" s="74">
        <v>22.414204483298899</v>
      </c>
    </row>
    <row r="26" spans="1:12" x14ac:dyDescent="0.3">
      <c r="A26" s="103">
        <v>120</v>
      </c>
      <c r="B26" s="74">
        <v>14.0191971800445</v>
      </c>
      <c r="C26" s="134">
        <v>4.0054848955310298</v>
      </c>
      <c r="D26" s="51">
        <f>6.26114328+1.00012213</f>
        <v>7.26126541</v>
      </c>
      <c r="E26" s="74">
        <v>6.9714624925094801</v>
      </c>
      <c r="F26" s="74">
        <v>0</v>
      </c>
      <c r="G26" s="74">
        <v>0</v>
      </c>
      <c r="H26" s="76">
        <v>0</v>
      </c>
      <c r="I26" s="156">
        <v>0</v>
      </c>
      <c r="J26" s="74">
        <v>22.5733317618479</v>
      </c>
      <c r="K26" s="51">
        <v>0</v>
      </c>
      <c r="L26" s="74">
        <v>22.493685616390501</v>
      </c>
    </row>
    <row r="27" spans="1:12" x14ac:dyDescent="0.3">
      <c r="A27" s="103">
        <v>130</v>
      </c>
      <c r="B27" s="74">
        <v>14.0191971647769</v>
      </c>
      <c r="C27" s="134">
        <v>4.0054848854400298</v>
      </c>
      <c r="D27" s="51">
        <f>6.26114325+1.00012212</f>
        <v>7.2612653700000003</v>
      </c>
      <c r="E27" s="74">
        <v>7.7289199482966904</v>
      </c>
      <c r="F27" s="74">
        <v>0</v>
      </c>
      <c r="G27" s="74">
        <v>0</v>
      </c>
      <c r="H27" s="76">
        <v>0</v>
      </c>
      <c r="I27" s="156">
        <v>0</v>
      </c>
      <c r="J27" s="74">
        <v>22.573331663906298</v>
      </c>
      <c r="K27" s="51">
        <v>0</v>
      </c>
      <c r="L27" s="74">
        <v>22.569055363081201</v>
      </c>
    </row>
    <row r="28" spans="1:12" x14ac:dyDescent="0.3">
      <c r="A28" s="103">
        <v>140</v>
      </c>
      <c r="B28" s="74">
        <v>14.0191971522722</v>
      </c>
      <c r="C28" s="134">
        <v>4.0054848727346899</v>
      </c>
      <c r="D28" s="51">
        <f>6.26114322+1.00012211</f>
        <v>7.2612653300000005</v>
      </c>
      <c r="E28" s="74">
        <v>8.2594059327499298</v>
      </c>
      <c r="F28" s="74">
        <v>0</v>
      </c>
      <c r="G28" s="74">
        <v>0</v>
      </c>
      <c r="H28" s="76">
        <v>0</v>
      </c>
      <c r="I28" s="156">
        <v>0</v>
      </c>
      <c r="J28" s="74">
        <v>22.573331589282098</v>
      </c>
      <c r="K28" s="51">
        <v>0</v>
      </c>
      <c r="L28" s="74">
        <v>22.621840633726499</v>
      </c>
    </row>
    <row r="29" spans="1:12" x14ac:dyDescent="0.3">
      <c r="A29" s="103">
        <v>150</v>
      </c>
      <c r="B29" s="74">
        <v>14.0162845567333</v>
      </c>
      <c r="C29" s="134">
        <v>4.0046530574672001</v>
      </c>
      <c r="D29" s="51">
        <f>6.26062199+0.99991416</f>
        <v>7.2605361500000001</v>
      </c>
      <c r="E29" s="74">
        <v>8.5188935827722503</v>
      </c>
      <c r="F29" s="74">
        <v>0</v>
      </c>
      <c r="G29" s="74">
        <v>0</v>
      </c>
      <c r="H29" s="76">
        <v>0</v>
      </c>
      <c r="I29" s="156">
        <v>0</v>
      </c>
      <c r="J29" s="74">
        <v>22.568924718974198</v>
      </c>
      <c r="K29" s="51">
        <v>0</v>
      </c>
      <c r="L29" s="74">
        <v>22.643007729238501</v>
      </c>
    </row>
    <row r="30" spans="1:12" x14ac:dyDescent="0.3">
      <c r="A30" s="103">
        <v>160</v>
      </c>
      <c r="B30" s="74">
        <v>14.0005535412</v>
      </c>
      <c r="C30" s="134">
        <v>4.0001597720752002</v>
      </c>
      <c r="D30" s="51">
        <f>6.25780616+0.99879054</f>
        <v>7.2565967000000002</v>
      </c>
      <c r="E30" s="74">
        <v>6.9068828098317097</v>
      </c>
      <c r="F30" s="74">
        <v>0</v>
      </c>
      <c r="G30" s="74">
        <v>0</v>
      </c>
      <c r="H30" s="76">
        <v>0</v>
      </c>
      <c r="I30" s="156">
        <v>0</v>
      </c>
      <c r="J30" s="74">
        <v>22.545144927644799</v>
      </c>
      <c r="K30" s="51">
        <v>0</v>
      </c>
      <c r="L30" s="74">
        <v>22.457515927444501</v>
      </c>
    </row>
    <row r="31" spans="1:12" x14ac:dyDescent="0.3">
      <c r="A31" s="103">
        <v>170</v>
      </c>
      <c r="B31" s="74">
        <v>7.9523896163161201</v>
      </c>
      <c r="C31" s="134">
        <v>2.2721113112441298</v>
      </c>
      <c r="D31" s="51">
        <f>3.55163355+0.5673193</f>
        <v>4.1189528500000003</v>
      </c>
      <c r="E31" s="74">
        <v>3.7393182423899201</v>
      </c>
      <c r="F31" s="74">
        <v>0</v>
      </c>
      <c r="G31" s="74">
        <v>0</v>
      </c>
      <c r="H31" s="76">
        <v>0</v>
      </c>
      <c r="I31" s="156">
        <v>0</v>
      </c>
      <c r="J31" s="74">
        <v>12.8047225002812</v>
      </c>
      <c r="K31" s="51">
        <v>0</v>
      </c>
      <c r="L31" s="74">
        <v>12.738125623058799</v>
      </c>
    </row>
    <row r="32" spans="1:12" x14ac:dyDescent="0.3">
      <c r="A32" s="103">
        <v>171.345</v>
      </c>
      <c r="B32" s="74">
        <v>0.942791012639005</v>
      </c>
      <c r="C32" s="134">
        <v>0.26936885982419001</v>
      </c>
      <c r="D32" s="51">
        <f>0.42106189+0.06725822</f>
        <v>0.48832010999999997</v>
      </c>
      <c r="E32" s="74">
        <v>0.438126971313616</v>
      </c>
      <c r="F32" s="74">
        <v>0</v>
      </c>
      <c r="G32" s="74">
        <v>0</v>
      </c>
      <c r="H32" s="76">
        <v>0</v>
      </c>
      <c r="I32" s="156">
        <v>0</v>
      </c>
      <c r="J32" s="74">
        <v>1.5180565678645801</v>
      </c>
      <c r="K32" s="51">
        <v>0</v>
      </c>
      <c r="L32" s="74">
        <v>1.5096452114202801</v>
      </c>
    </row>
  </sheetData>
  <conditionalFormatting sqref="B12:H12">
    <cfRule type="cellIs" dxfId="2" priority="2" stopIfTrue="1" operator="equal">
      <formula>0</formula>
    </cfRule>
  </conditionalFormatting>
  <conditionalFormatting sqref="I12:K12">
    <cfRule type="cellIs" dxfId="1" priority="1" stopIfTrue="1" operator="equal">
      <formula>0</formula>
    </cfRule>
  </conditionalFormatting>
  <pageMargins left="0.75" right="0.75" top="1" bottom="1" header="0" footer="0"/>
  <pageSetup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2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74" customWidth="1"/>
    <col min="2" max="2" width="15.7265625" style="76" customWidth="1"/>
    <col min="3" max="3" width="15.7265625" style="142" customWidth="1"/>
    <col min="4" max="6" width="15.7265625" style="51" customWidth="1"/>
    <col min="7" max="7" width="13.08984375" style="51" customWidth="1"/>
    <col min="8" max="8" width="14.36328125" style="51" customWidth="1"/>
    <col min="9" max="9" width="11.6328125" style="51" customWidth="1"/>
    <col min="10" max="16384" width="11.6328125" style="51"/>
  </cols>
  <sheetData>
    <row r="1" spans="1: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</row>
    <row r="2" spans="1: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</row>
    <row r="3" spans="1:9" ht="16.149999999999999" customHeight="1" x14ac:dyDescent="0.35">
      <c r="A3" s="55" t="s">
        <v>57</v>
      </c>
      <c r="B3" s="55"/>
      <c r="C3" s="56"/>
      <c r="D3" s="56"/>
      <c r="E3" s="56"/>
      <c r="F3" s="56"/>
      <c r="G3" s="56"/>
      <c r="H3" s="56"/>
      <c r="I3" s="53"/>
    </row>
    <row r="4" spans="1:9" ht="16.149999999999999" customHeight="1" x14ac:dyDescent="0.35">
      <c r="A4" s="55" t="s">
        <v>8</v>
      </c>
      <c r="B4" s="55" t="str">
        <f>Sammendrag!B4</f>
        <v>Veg 2</v>
      </c>
      <c r="C4" s="56"/>
      <c r="D4" s="56"/>
      <c r="E4" s="56"/>
      <c r="F4" s="56"/>
      <c r="G4" s="56"/>
      <c r="H4" s="56"/>
      <c r="I4" s="53"/>
    </row>
    <row r="5" spans="1: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15"/>
      <c r="H5" s="15">
        <f>Sammendrag!H5</f>
        <v>1.1000000000000001</v>
      </c>
      <c r="I5" s="53"/>
    </row>
    <row r="6" spans="1: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15"/>
      <c r="H6" s="15">
        <f>Sammendrag!H6</f>
        <v>171.345</v>
      </c>
      <c r="I6" s="53"/>
    </row>
    <row r="7" spans="1: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8"/>
      <c r="H7" s="58" t="str">
        <f>Sammendrag!H7</f>
        <v>5/8/2020 1:05:25 PM</v>
      </c>
      <c r="I7" s="53"/>
    </row>
    <row r="8" spans="1:9" ht="15" customHeight="1" x14ac:dyDescent="0.3">
      <c r="A8" s="56"/>
      <c r="B8" s="56"/>
      <c r="C8" s="56"/>
      <c r="D8" s="56"/>
      <c r="E8" s="56"/>
      <c r="F8" s="56"/>
      <c r="G8" s="56"/>
      <c r="H8" s="15"/>
      <c r="I8" s="53"/>
    </row>
    <row r="9" spans="1:9" ht="15" customHeight="1" x14ac:dyDescent="0.3">
      <c r="A9" s="19"/>
      <c r="B9" s="19"/>
      <c r="C9" s="19"/>
      <c r="D9" s="19"/>
      <c r="E9" s="19"/>
      <c r="F9" s="19"/>
      <c r="G9" s="19"/>
      <c r="H9" s="19"/>
    </row>
    <row r="10" spans="1:9" ht="15" customHeight="1" x14ac:dyDescent="0.3">
      <c r="A10" s="19"/>
      <c r="B10" s="19"/>
      <c r="C10" s="19"/>
      <c r="D10" s="19"/>
      <c r="E10" s="19"/>
      <c r="F10" s="19"/>
      <c r="G10" s="19"/>
      <c r="H10" s="19"/>
    </row>
    <row r="11" spans="1:9" x14ac:dyDescent="0.3">
      <c r="A11" s="60"/>
      <c r="B11" s="61"/>
      <c r="C11" s="140"/>
      <c r="D11" s="19"/>
      <c r="E11" s="19"/>
      <c r="F11" s="19"/>
      <c r="G11" s="19"/>
      <c r="H11" s="19"/>
    </row>
    <row r="12" spans="1:9" ht="28.15" customHeight="1" thickBot="1" x14ac:dyDescent="0.35">
      <c r="A12" s="66" t="s">
        <v>25</v>
      </c>
      <c r="B12" s="148" t="s">
        <v>90</v>
      </c>
      <c r="C12" s="149" t="s">
        <v>91</v>
      </c>
      <c r="D12" s="139"/>
      <c r="E12" s="139"/>
      <c r="F12" s="139"/>
      <c r="G12" s="78"/>
      <c r="H12" s="78"/>
    </row>
    <row r="13" spans="1:9" ht="16.149999999999999" customHeight="1" thickTop="1" x14ac:dyDescent="0.3">
      <c r="A13" s="69" t="s">
        <v>26</v>
      </c>
      <c r="B13" s="71">
        <f ca="1">SUM([0]!Lengths_SD_Soil)</f>
        <v>0</v>
      </c>
      <c r="C13" s="141">
        <f ca="1">SUM([0]!Lengths_SD_Rock)</f>
        <v>0</v>
      </c>
      <c r="D13" s="19"/>
      <c r="E13" s="19"/>
      <c r="F13" s="19"/>
      <c r="G13" s="79"/>
      <c r="H13" s="68"/>
    </row>
    <row r="14" spans="1:9" x14ac:dyDescent="0.3">
      <c r="A14" s="74">
        <v>1.1000000000000001</v>
      </c>
      <c r="B14" s="76">
        <v>0</v>
      </c>
      <c r="C14" s="142">
        <v>0</v>
      </c>
    </row>
    <row r="15" spans="1:9" ht="13" x14ac:dyDescent="0.3">
      <c r="A15" s="74">
        <v>10</v>
      </c>
      <c r="B15" s="76">
        <v>0</v>
      </c>
      <c r="C15" s="142">
        <v>0</v>
      </c>
      <c r="H15" s="81"/>
    </row>
    <row r="16" spans="1:9" ht="13" x14ac:dyDescent="0.3">
      <c r="A16" s="74">
        <v>20</v>
      </c>
      <c r="B16" s="76">
        <v>0</v>
      </c>
      <c r="C16" s="142">
        <v>0</v>
      </c>
      <c r="H16" s="81"/>
    </row>
    <row r="17" spans="1:8" ht="13" x14ac:dyDescent="0.3">
      <c r="A17" s="74">
        <v>30</v>
      </c>
      <c r="B17" s="76">
        <v>0</v>
      </c>
      <c r="C17" s="142">
        <v>0</v>
      </c>
      <c r="H17" s="81"/>
    </row>
    <row r="18" spans="1:8" ht="13" x14ac:dyDescent="0.3">
      <c r="A18" s="74">
        <v>40</v>
      </c>
      <c r="B18" s="76">
        <v>0</v>
      </c>
      <c r="C18" s="142">
        <v>0</v>
      </c>
      <c r="H18" s="81"/>
    </row>
    <row r="19" spans="1:8" ht="13" x14ac:dyDescent="0.3">
      <c r="A19" s="74">
        <v>50</v>
      </c>
      <c r="B19" s="76">
        <v>0</v>
      </c>
      <c r="C19" s="142">
        <v>0</v>
      </c>
      <c r="H19" s="81"/>
    </row>
    <row r="20" spans="1:8" x14ac:dyDescent="0.3">
      <c r="A20" s="74">
        <v>60</v>
      </c>
      <c r="B20" s="76">
        <v>0</v>
      </c>
      <c r="C20" s="142">
        <v>0</v>
      </c>
    </row>
    <row r="21" spans="1:8" x14ac:dyDescent="0.3">
      <c r="A21" s="74">
        <v>70</v>
      </c>
      <c r="B21" s="76">
        <v>0</v>
      </c>
      <c r="C21" s="142">
        <v>0</v>
      </c>
    </row>
    <row r="22" spans="1:8" x14ac:dyDescent="0.3">
      <c r="A22" s="74">
        <v>80</v>
      </c>
      <c r="B22" s="76">
        <v>0</v>
      </c>
      <c r="C22" s="142">
        <v>0</v>
      </c>
    </row>
    <row r="23" spans="1:8" x14ac:dyDescent="0.3">
      <c r="A23" s="74">
        <v>90</v>
      </c>
      <c r="B23" s="76">
        <v>0</v>
      </c>
      <c r="C23" s="142">
        <v>0</v>
      </c>
    </row>
    <row r="24" spans="1:8" x14ac:dyDescent="0.3">
      <c r="A24" s="74">
        <v>100</v>
      </c>
      <c r="B24" s="76">
        <v>0</v>
      </c>
      <c r="C24" s="142">
        <v>0</v>
      </c>
    </row>
    <row r="25" spans="1:8" x14ac:dyDescent="0.3">
      <c r="A25" s="74">
        <v>110</v>
      </c>
      <c r="B25" s="76">
        <v>0</v>
      </c>
      <c r="C25" s="142">
        <v>0</v>
      </c>
    </row>
    <row r="26" spans="1:8" x14ac:dyDescent="0.3">
      <c r="A26" s="74">
        <v>120</v>
      </c>
      <c r="B26" s="76">
        <v>0</v>
      </c>
      <c r="C26" s="142">
        <v>0</v>
      </c>
    </row>
    <row r="27" spans="1:8" x14ac:dyDescent="0.3">
      <c r="A27" s="74">
        <v>130</v>
      </c>
      <c r="B27" s="76">
        <v>0</v>
      </c>
      <c r="C27" s="142">
        <v>0</v>
      </c>
    </row>
    <row r="28" spans="1:8" x14ac:dyDescent="0.3">
      <c r="A28" s="74">
        <v>140</v>
      </c>
      <c r="B28" s="76">
        <v>0</v>
      </c>
      <c r="C28" s="142">
        <v>0</v>
      </c>
    </row>
    <row r="29" spans="1:8" x14ac:dyDescent="0.3">
      <c r="A29" s="74">
        <v>150</v>
      </c>
      <c r="B29" s="76">
        <v>0</v>
      </c>
      <c r="C29" s="142">
        <v>0</v>
      </c>
    </row>
    <row r="30" spans="1:8" x14ac:dyDescent="0.3">
      <c r="A30" s="74">
        <v>160</v>
      </c>
      <c r="B30" s="76">
        <v>0</v>
      </c>
      <c r="C30" s="142">
        <v>0</v>
      </c>
    </row>
    <row r="31" spans="1:8" x14ac:dyDescent="0.3">
      <c r="A31" s="74">
        <v>170</v>
      </c>
      <c r="B31" s="76">
        <v>0</v>
      </c>
      <c r="C31" s="142">
        <v>0</v>
      </c>
    </row>
    <row r="32" spans="1:8" x14ac:dyDescent="0.3">
      <c r="A32" s="74">
        <v>171.345</v>
      </c>
      <c r="B32" s="76">
        <v>0</v>
      </c>
      <c r="C32" s="142">
        <v>0</v>
      </c>
    </row>
  </sheetData>
  <conditionalFormatting sqref="B12:C12">
    <cfRule type="cellIs" dxfId="0" priority="1" stopIfTrue="1" operator="equal">
      <formula>0</formula>
    </cfRule>
  </conditionalFormatting>
  <pageMargins left="0.75" right="0.75" top="1" bottom="1" header="0" footer="0"/>
  <pageSetup fitToHeight="0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2"/>
  <sheetViews>
    <sheetView workbookViewId="0">
      <selection activeCell="A2" sqref="A2"/>
    </sheetView>
  </sheetViews>
  <sheetFormatPr baseColWidth="10" defaultColWidth="11.6328125" defaultRowHeight="12" x14ac:dyDescent="0.3"/>
  <cols>
    <col min="1" max="1" width="15.7265625" style="74" customWidth="1"/>
    <col min="2" max="2" width="15.7265625" style="76" customWidth="1"/>
    <col min="3" max="3" width="15.7265625" style="74" customWidth="1"/>
    <col min="4" max="4" width="17.6328125" style="74" customWidth="1"/>
    <col min="5" max="5" width="13.08984375" style="51" customWidth="1"/>
    <col min="6" max="6" width="14.36328125" style="51" customWidth="1"/>
    <col min="7" max="7" width="11.6328125" style="51" customWidth="1"/>
    <col min="8" max="16384" width="11.6328125" style="51"/>
  </cols>
  <sheetData>
    <row r="1" spans="1:9" ht="45" customHeight="1" x14ac:dyDescent="0.6">
      <c r="A1" s="48"/>
      <c r="B1" s="48"/>
      <c r="C1" s="49"/>
      <c r="D1" s="48"/>
      <c r="E1" s="48"/>
      <c r="F1" s="48"/>
      <c r="G1" s="48"/>
      <c r="H1" s="48"/>
      <c r="I1" s="48"/>
    </row>
    <row r="2" spans="1:9" ht="16.899999999999999" customHeight="1" x14ac:dyDescent="0.4">
      <c r="A2" s="8" t="s">
        <v>6</v>
      </c>
      <c r="B2" s="52"/>
      <c r="C2" s="53"/>
      <c r="D2" s="53"/>
      <c r="E2" s="53"/>
      <c r="F2" s="53"/>
      <c r="G2" s="53"/>
      <c r="H2" s="53"/>
      <c r="I2" s="53"/>
    </row>
    <row r="3" spans="1:9" ht="16.149999999999999" customHeight="1" x14ac:dyDescent="0.35">
      <c r="A3" s="153" t="s">
        <v>56</v>
      </c>
      <c r="B3" s="55"/>
      <c r="C3" s="56"/>
      <c r="D3" s="56"/>
      <c r="E3" s="56"/>
      <c r="F3" s="56"/>
      <c r="G3" s="53"/>
      <c r="H3" s="53"/>
      <c r="I3" s="53"/>
    </row>
    <row r="4" spans="1:9" ht="16.149999999999999" customHeight="1" x14ac:dyDescent="0.35">
      <c r="A4" s="55" t="s">
        <v>8</v>
      </c>
      <c r="B4" s="55" t="str">
        <f>Sammendrag!B4</f>
        <v>Veg 2</v>
      </c>
      <c r="C4" s="56"/>
      <c r="D4" s="56"/>
      <c r="E4" s="56"/>
      <c r="F4" s="56"/>
      <c r="G4" s="56"/>
      <c r="H4" s="56"/>
      <c r="I4" s="53"/>
    </row>
    <row r="5" spans="1:9" ht="15" customHeight="1" x14ac:dyDescent="0.3">
      <c r="A5" s="56"/>
      <c r="B5" s="56" t="str">
        <f>IF(Sammendrag!B5="","",Sammendrag!B5)</f>
        <v/>
      </c>
      <c r="C5" s="56"/>
      <c r="D5" s="56"/>
      <c r="E5" s="56"/>
      <c r="F5" s="56" t="str">
        <f>Sammendrag!F5</f>
        <v>Start profil:</v>
      </c>
      <c r="G5" s="15"/>
      <c r="H5" s="15">
        <f>Sammendrag!H5</f>
        <v>1.1000000000000001</v>
      </c>
      <c r="I5" s="53"/>
    </row>
    <row r="6" spans="1:9" ht="15" customHeight="1" x14ac:dyDescent="0.3">
      <c r="A6" s="56"/>
      <c r="B6" s="56"/>
      <c r="C6" s="56"/>
      <c r="D6" s="56"/>
      <c r="E6" s="56"/>
      <c r="F6" s="56" t="str">
        <f>Sammendrag!F6</f>
        <v>Slutt profil:</v>
      </c>
      <c r="G6" s="15"/>
      <c r="H6" s="15">
        <f>Sammendrag!H6</f>
        <v>171.345</v>
      </c>
      <c r="I6" s="53"/>
    </row>
    <row r="7" spans="1:9" ht="15" customHeight="1" x14ac:dyDescent="0.3">
      <c r="A7" s="56"/>
      <c r="B7" s="56"/>
      <c r="C7" s="56"/>
      <c r="D7" s="56"/>
      <c r="E7" s="56"/>
      <c r="F7" s="56" t="str">
        <f>Sammendrag!F7</f>
        <v>Dato sist endret:</v>
      </c>
      <c r="G7" s="58"/>
      <c r="H7" s="58" t="str">
        <f>Sammendrag!H7</f>
        <v>5/8/2020 1:05:25 PM</v>
      </c>
      <c r="I7" s="53"/>
    </row>
    <row r="8" spans="1:9" ht="15" customHeight="1" x14ac:dyDescent="0.3">
      <c r="A8" s="56"/>
      <c r="B8" s="56"/>
      <c r="C8" s="56"/>
      <c r="D8" s="56"/>
      <c r="E8" s="56"/>
      <c r="F8" s="15"/>
      <c r="G8" s="53"/>
      <c r="H8" s="53"/>
      <c r="I8" s="53"/>
    </row>
    <row r="9" spans="1:9" ht="15" customHeight="1" x14ac:dyDescent="0.3">
      <c r="A9" s="19"/>
      <c r="B9" s="19"/>
      <c r="C9" s="19"/>
      <c r="D9" s="19"/>
      <c r="E9" s="19"/>
      <c r="F9" s="19"/>
    </row>
    <row r="10" spans="1:9" ht="15" customHeight="1" x14ac:dyDescent="0.3">
      <c r="A10" s="19"/>
      <c r="B10" s="19"/>
      <c r="C10" s="19"/>
      <c r="D10" s="19"/>
      <c r="E10" s="19"/>
      <c r="F10" s="19"/>
    </row>
    <row r="11" spans="1:9" x14ac:dyDescent="0.3">
      <c r="A11" s="60"/>
      <c r="B11" s="61"/>
      <c r="C11" s="61"/>
      <c r="D11" s="77"/>
      <c r="E11" s="19"/>
      <c r="F11" s="19"/>
    </row>
    <row r="12" spans="1:9" ht="46" customHeight="1" thickBot="1" x14ac:dyDescent="0.35">
      <c r="A12" s="66" t="s">
        <v>25</v>
      </c>
      <c r="B12" s="129" t="s">
        <v>66</v>
      </c>
      <c r="C12" s="129" t="s">
        <v>67</v>
      </c>
      <c r="D12" s="130" t="s">
        <v>70</v>
      </c>
      <c r="E12" s="78"/>
      <c r="F12" s="78"/>
    </row>
    <row r="13" spans="1:9" ht="16.149999999999999" customHeight="1" thickTop="1" x14ac:dyDescent="0.3">
      <c r="A13" s="69" t="s">
        <v>26</v>
      </c>
      <c r="B13" s="71">
        <f ca="1">SUM(Flåsprengning!Lengths_SD_Soil)</f>
        <v>340.26450114117404</v>
      </c>
      <c r="C13" s="71">
        <f ca="1">SUM(Flåsprengning!Lengths_SD_Rock)</f>
        <v>132.91703962556488</v>
      </c>
      <c r="D13" s="71">
        <f ca="1">SUM(Flåsprengning!Lengths_CD_Fill)</f>
        <v>340.26450114117404</v>
      </c>
      <c r="E13" s="79"/>
      <c r="F13" s="68"/>
    </row>
    <row r="14" spans="1:9" x14ac:dyDescent="0.3">
      <c r="A14" s="74">
        <v>1.1000000000000001</v>
      </c>
      <c r="B14" s="76">
        <v>0</v>
      </c>
      <c r="C14" s="74">
        <v>0.22602</v>
      </c>
      <c r="D14" s="74">
        <f t="shared" ref="D14:D32" si="0">0+$B14*1</f>
        <v>0</v>
      </c>
    </row>
    <row r="15" spans="1:9" ht="13" x14ac:dyDescent="0.3">
      <c r="A15" s="74">
        <v>10</v>
      </c>
      <c r="B15" s="76">
        <v>0</v>
      </c>
      <c r="C15" s="74">
        <v>0</v>
      </c>
      <c r="D15" s="74">
        <f t="shared" si="0"/>
        <v>0</v>
      </c>
      <c r="F15" s="81"/>
    </row>
    <row r="16" spans="1:9" ht="13" x14ac:dyDescent="0.3">
      <c r="A16" s="74">
        <v>20</v>
      </c>
      <c r="B16" s="76">
        <v>13.4409606918972</v>
      </c>
      <c r="C16" s="74">
        <v>1.3538286966520701</v>
      </c>
      <c r="D16" s="74">
        <f t="shared" si="0"/>
        <v>13.4409606918972</v>
      </c>
      <c r="F16" s="81"/>
    </row>
    <row r="17" spans="1:6" ht="13" x14ac:dyDescent="0.3">
      <c r="A17" s="74">
        <v>30</v>
      </c>
      <c r="B17" s="76">
        <v>22.585418260514999</v>
      </c>
      <c r="C17" s="74">
        <v>10.1314818240458</v>
      </c>
      <c r="D17" s="74">
        <f t="shared" si="0"/>
        <v>22.585418260514999</v>
      </c>
      <c r="F17" s="81"/>
    </row>
    <row r="18" spans="1:6" ht="13" x14ac:dyDescent="0.3">
      <c r="A18" s="74">
        <v>40</v>
      </c>
      <c r="B18" s="76">
        <v>22.998476302308099</v>
      </c>
      <c r="C18" s="74">
        <v>14.9102711117316</v>
      </c>
      <c r="D18" s="74">
        <f t="shared" si="0"/>
        <v>22.998476302308099</v>
      </c>
      <c r="F18" s="81"/>
    </row>
    <row r="19" spans="1:6" ht="13" x14ac:dyDescent="0.3">
      <c r="A19" s="74">
        <v>50</v>
      </c>
      <c r="B19" s="76">
        <v>20.278874761881401</v>
      </c>
      <c r="C19" s="74">
        <v>2.4080857672948701</v>
      </c>
      <c r="D19" s="74">
        <f t="shared" si="0"/>
        <v>20.278874761881401</v>
      </c>
      <c r="F19" s="81"/>
    </row>
    <row r="20" spans="1:6" x14ac:dyDescent="0.3">
      <c r="A20" s="74">
        <v>60</v>
      </c>
      <c r="B20" s="76">
        <v>21.472996443244099</v>
      </c>
      <c r="C20" s="74">
        <v>2.2515179225956001</v>
      </c>
      <c r="D20" s="74">
        <f t="shared" si="0"/>
        <v>21.472996443244099</v>
      </c>
    </row>
    <row r="21" spans="1:6" x14ac:dyDescent="0.3">
      <c r="A21" s="74">
        <v>70</v>
      </c>
      <c r="B21" s="76">
        <v>22.353900868544802</v>
      </c>
      <c r="C21" s="74">
        <v>8.0662533526836597</v>
      </c>
      <c r="D21" s="74">
        <f t="shared" si="0"/>
        <v>22.353900868544802</v>
      </c>
    </row>
    <row r="22" spans="1:6" x14ac:dyDescent="0.3">
      <c r="A22" s="74">
        <v>80</v>
      </c>
      <c r="B22" s="76">
        <v>22.695936873935999</v>
      </c>
      <c r="C22" s="74">
        <v>11.4596079340934</v>
      </c>
      <c r="D22" s="74">
        <f t="shared" si="0"/>
        <v>22.695936873935999</v>
      </c>
    </row>
    <row r="23" spans="1:6" x14ac:dyDescent="0.3">
      <c r="A23" s="74">
        <v>90</v>
      </c>
      <c r="B23" s="76">
        <v>22.577122646169599</v>
      </c>
      <c r="C23" s="74">
        <v>10.158307705021601</v>
      </c>
      <c r="D23" s="74">
        <f t="shared" si="0"/>
        <v>22.577122646169599</v>
      </c>
    </row>
    <row r="24" spans="1:6" x14ac:dyDescent="0.3">
      <c r="A24" s="74">
        <v>100</v>
      </c>
      <c r="B24" s="76">
        <v>22.4137337050187</v>
      </c>
      <c r="C24" s="74">
        <v>8.3256113279059694</v>
      </c>
      <c r="D24" s="74">
        <f t="shared" si="0"/>
        <v>22.4137337050187</v>
      </c>
    </row>
    <row r="25" spans="1:6" x14ac:dyDescent="0.3">
      <c r="A25" s="74">
        <v>110</v>
      </c>
      <c r="B25" s="76">
        <v>22.414204483298899</v>
      </c>
      <c r="C25" s="74">
        <v>8.3077618455673701</v>
      </c>
      <c r="D25" s="74">
        <f t="shared" si="0"/>
        <v>22.414204483298899</v>
      </c>
    </row>
    <row r="26" spans="1:6" x14ac:dyDescent="0.3">
      <c r="A26" s="74">
        <v>120</v>
      </c>
      <c r="B26" s="76">
        <v>22.493685616390501</v>
      </c>
      <c r="C26" s="74">
        <v>9.1676408438487105</v>
      </c>
      <c r="D26" s="74">
        <f t="shared" si="0"/>
        <v>22.493685616390501</v>
      </c>
    </row>
    <row r="27" spans="1:6" x14ac:dyDescent="0.3">
      <c r="A27" s="74">
        <v>130</v>
      </c>
      <c r="B27" s="76">
        <v>22.569055363081201</v>
      </c>
      <c r="C27" s="74">
        <v>10.016303818030099</v>
      </c>
      <c r="D27" s="74">
        <f t="shared" si="0"/>
        <v>22.569055363081201</v>
      </c>
    </row>
    <row r="28" spans="1:6" x14ac:dyDescent="0.3">
      <c r="A28" s="74">
        <v>140</v>
      </c>
      <c r="B28" s="76">
        <v>22.621840633726499</v>
      </c>
      <c r="C28" s="74">
        <v>10.6126450049056</v>
      </c>
      <c r="D28" s="74">
        <f t="shared" si="0"/>
        <v>22.621840633726499</v>
      </c>
    </row>
    <row r="29" spans="1:6" x14ac:dyDescent="0.3">
      <c r="A29" s="74">
        <v>150</v>
      </c>
      <c r="B29" s="76">
        <v>22.643007729238501</v>
      </c>
      <c r="C29" s="74">
        <v>10.9004664937765</v>
      </c>
      <c r="D29" s="74">
        <f t="shared" si="0"/>
        <v>22.643007729238501</v>
      </c>
    </row>
    <row r="30" spans="1:6" x14ac:dyDescent="0.3">
      <c r="A30" s="74">
        <v>160</v>
      </c>
      <c r="B30" s="76">
        <v>22.457515927444501</v>
      </c>
      <c r="C30" s="74">
        <v>9.0806361227642807</v>
      </c>
      <c r="D30" s="74">
        <f t="shared" si="0"/>
        <v>22.457515927444501</v>
      </c>
    </row>
    <row r="31" spans="1:6" x14ac:dyDescent="0.3">
      <c r="A31" s="74">
        <v>170</v>
      </c>
      <c r="B31" s="76">
        <v>12.738125623058799</v>
      </c>
      <c r="C31" s="74">
        <v>4.9583526983695396</v>
      </c>
      <c r="D31" s="74">
        <f t="shared" si="0"/>
        <v>12.738125623058799</v>
      </c>
    </row>
    <row r="32" spans="1:6" x14ac:dyDescent="0.3">
      <c r="A32" s="74">
        <v>171.345</v>
      </c>
      <c r="B32" s="76">
        <v>1.5096452114202801</v>
      </c>
      <c r="C32" s="74">
        <v>0.58224715627822299</v>
      </c>
      <c r="D32" s="74">
        <f t="shared" si="0"/>
        <v>1.5096452114202801</v>
      </c>
    </row>
  </sheetData>
  <pageMargins left="0.75" right="0.75" top="1" bottom="1" header="0" footer="0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Sammendrag</vt:lpstr>
      <vt:lpstr>Planering</vt:lpstr>
      <vt:lpstr>Diverse_mengder</vt:lpstr>
      <vt:lpstr>Inngår_i_planering</vt:lpstr>
      <vt:lpstr>Overbygning</vt:lpstr>
      <vt:lpstr>Areal</vt:lpstr>
      <vt:lpstr>Lengde</vt:lpstr>
      <vt:lpstr>Flåsprengning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Jakkaphan Aiemcharoenjit</dc:creator>
  <cp:lastModifiedBy>Tiril Birkedal</cp:lastModifiedBy>
  <dcterms:created xsi:type="dcterms:W3CDTF">2017-06-07T03:21:20Z</dcterms:created>
  <dcterms:modified xsi:type="dcterms:W3CDTF">2020-05-11T08:41:08Z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