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\Documents\Bachelor\"/>
    </mc:Choice>
  </mc:AlternateContent>
  <xr:revisionPtr revIDLastSave="0" documentId="8_{AA5F59CF-88AC-4D4C-B24E-388A3165C156}" xr6:coauthVersionLast="45" xr6:coauthVersionMax="45" xr10:uidLastSave="{00000000-0000-0000-0000-000000000000}"/>
  <bookViews>
    <workbookView xWindow="-98" yWindow="-98" windowWidth="20715" windowHeight="13276" activeTab="1" xr2:uid="{AC4367FF-AA2B-4998-B3D3-AD12D2B73EEC}"/>
  </bookViews>
  <sheets>
    <sheet name="Lavtemp" sheetId="2" r:id="rId1"/>
    <sheet name="Høytemp" sheetId="1" r:id="rId2"/>
    <sheet name="Kortversjon diagrammer" sheetId="4" r:id="rId3"/>
    <sheet name="PV-diagram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1" l="1"/>
  <c r="L39" i="1"/>
  <c r="N39" i="1"/>
  <c r="P39" i="1"/>
  <c r="R39" i="1"/>
  <c r="H39" i="1"/>
  <c r="H82" i="1" l="1"/>
  <c r="H81" i="1"/>
  <c r="H72" i="1" l="1"/>
  <c r="J90" i="1" l="1"/>
  <c r="L90" i="1"/>
  <c r="N90" i="1"/>
  <c r="P90" i="1"/>
  <c r="R90" i="1"/>
  <c r="H90" i="1"/>
  <c r="P102" i="1"/>
  <c r="R102" i="1"/>
  <c r="N102" i="1"/>
  <c r="R99" i="1"/>
  <c r="I24" i="1"/>
  <c r="J24" i="1"/>
  <c r="K24" i="1"/>
  <c r="L24" i="1"/>
  <c r="M24" i="1"/>
  <c r="N24" i="1"/>
  <c r="N99" i="1" s="1"/>
  <c r="O24" i="1"/>
  <c r="P24" i="1"/>
  <c r="P99" i="1" s="1"/>
  <c r="Q24" i="1"/>
  <c r="R24" i="1"/>
  <c r="S24" i="1"/>
  <c r="H24" i="1"/>
  <c r="I27" i="1"/>
  <c r="C21" i="4"/>
  <c r="N21" i="4"/>
  <c r="M21" i="4"/>
  <c r="L21" i="4"/>
  <c r="K21" i="4"/>
  <c r="J21" i="4"/>
  <c r="I21" i="4"/>
  <c r="H21" i="4"/>
  <c r="G21" i="4"/>
  <c r="F21" i="4"/>
  <c r="E21" i="4"/>
  <c r="D21" i="4"/>
  <c r="N20" i="4"/>
  <c r="M20" i="4"/>
  <c r="L20" i="4"/>
  <c r="K20" i="4"/>
  <c r="J20" i="4"/>
  <c r="I20" i="4"/>
  <c r="H20" i="4"/>
  <c r="G20" i="4"/>
  <c r="F20" i="4"/>
  <c r="E20" i="4"/>
  <c r="D20" i="4"/>
  <c r="C20" i="4"/>
  <c r="E14" i="4" l="1"/>
  <c r="F14" i="4"/>
  <c r="G14" i="4"/>
  <c r="H14" i="4"/>
  <c r="I14" i="4"/>
  <c r="J14" i="4"/>
  <c r="K14" i="4"/>
  <c r="L14" i="4"/>
  <c r="D14" i="4"/>
  <c r="I12" i="1"/>
  <c r="J12" i="1"/>
  <c r="K12" i="1"/>
  <c r="L12" i="1"/>
  <c r="M12" i="1"/>
  <c r="N12" i="1"/>
  <c r="O12" i="1"/>
  <c r="P12" i="1"/>
  <c r="H12" i="1"/>
  <c r="H68" i="1"/>
  <c r="N98" i="1" l="1"/>
  <c r="P98" i="1"/>
  <c r="R98" i="1"/>
  <c r="H55" i="1" l="1"/>
  <c r="H41" i="1"/>
  <c r="J41" i="1"/>
  <c r="L41" i="1"/>
  <c r="N41" i="1"/>
  <c r="P41" i="1"/>
  <c r="R41" i="1"/>
  <c r="H42" i="1"/>
  <c r="J42" i="1"/>
  <c r="J72" i="1" s="1"/>
  <c r="L42" i="1"/>
  <c r="N42" i="1"/>
  <c r="P42" i="1"/>
  <c r="R42" i="1"/>
  <c r="R72" i="1" s="1"/>
  <c r="N71" i="1" l="1"/>
  <c r="R44" i="1"/>
  <c r="N72" i="1"/>
  <c r="J71" i="1"/>
  <c r="J73" i="1" s="1"/>
  <c r="J74" i="1" s="1"/>
  <c r="J76" i="1" s="1"/>
  <c r="J79" i="1" s="1"/>
  <c r="J44" i="1"/>
  <c r="R71" i="1"/>
  <c r="N75" i="1"/>
  <c r="N77" i="1"/>
  <c r="L44" i="1"/>
  <c r="L72" i="1"/>
  <c r="P44" i="1"/>
  <c r="P71" i="1"/>
  <c r="P73" i="1" s="1"/>
  <c r="P74" i="1" s="1"/>
  <c r="R75" i="1"/>
  <c r="J75" i="1"/>
  <c r="P72" i="1"/>
  <c r="H44" i="1"/>
  <c r="L71" i="1"/>
  <c r="L73" i="1" s="1"/>
  <c r="L74" i="1" s="1"/>
  <c r="J77" i="1"/>
  <c r="H71" i="1"/>
  <c r="H73" i="1"/>
  <c r="H74" i="1" s="1"/>
  <c r="N44" i="1"/>
  <c r="N73" i="1"/>
  <c r="N74" i="1" s="1"/>
  <c r="N76" i="1" s="1"/>
  <c r="R77" i="1"/>
  <c r="R73" i="1"/>
  <c r="R74" i="1" s="1"/>
  <c r="R76" i="1" s="1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4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4" i="3"/>
  <c r="P5" i="3"/>
  <c r="P6" i="3" s="1"/>
  <c r="P7" i="3" s="1"/>
  <c r="P8" i="3" s="1"/>
  <c r="P9" i="3" s="1"/>
  <c r="P10" i="3" s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C25" i="3"/>
  <c r="C26" i="3" s="1"/>
  <c r="C27" i="3" s="1"/>
  <c r="C28" i="3" s="1"/>
  <c r="C29" i="3" s="1"/>
  <c r="C30" i="3" s="1"/>
  <c r="C31" i="3" s="1"/>
  <c r="C32" i="3" s="1"/>
  <c r="C33" i="3" s="1"/>
  <c r="C34" i="3" s="1"/>
  <c r="A4" i="3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N79" i="1" l="1"/>
  <c r="R79" i="1"/>
  <c r="H77" i="1"/>
  <c r="L77" i="1"/>
  <c r="H76" i="1"/>
  <c r="H75" i="1"/>
  <c r="J78" i="1"/>
  <c r="P76" i="1"/>
  <c r="P75" i="1"/>
  <c r="P77" i="1"/>
  <c r="R78" i="1"/>
  <c r="N78" i="1"/>
  <c r="L75" i="1"/>
  <c r="L76" i="1"/>
  <c r="L26" i="1"/>
  <c r="L87" i="1" s="1"/>
  <c r="I34" i="1"/>
  <c r="J34" i="1"/>
  <c r="K34" i="1"/>
  <c r="L34" i="1"/>
  <c r="M34" i="1"/>
  <c r="N34" i="1"/>
  <c r="O34" i="1"/>
  <c r="P34" i="1"/>
  <c r="Q34" i="1"/>
  <c r="R34" i="1"/>
  <c r="S34" i="1"/>
  <c r="H34" i="1"/>
  <c r="R7" i="3" l="1"/>
  <c r="R11" i="3"/>
  <c r="R15" i="3"/>
  <c r="R19" i="3"/>
  <c r="R23" i="3"/>
  <c r="R27" i="3"/>
  <c r="R31" i="3"/>
  <c r="R4" i="3"/>
  <c r="R12" i="3"/>
  <c r="R16" i="3"/>
  <c r="R20" i="3"/>
  <c r="R24" i="3"/>
  <c r="R28" i="3"/>
  <c r="R8" i="3"/>
  <c r="R32" i="3"/>
  <c r="R5" i="3"/>
  <c r="R9" i="3"/>
  <c r="R13" i="3"/>
  <c r="R17" i="3"/>
  <c r="R21" i="3"/>
  <c r="R25" i="3"/>
  <c r="R29" i="3"/>
  <c r="R33" i="3"/>
  <c r="R6" i="3"/>
  <c r="R10" i="3"/>
  <c r="R14" i="3"/>
  <c r="R18" i="3"/>
  <c r="R22" i="3"/>
  <c r="R26" i="3"/>
  <c r="R30" i="3"/>
  <c r="R34" i="3"/>
  <c r="L79" i="1"/>
  <c r="P79" i="1"/>
  <c r="H79" i="1"/>
  <c r="R81" i="1"/>
  <c r="R83" i="1"/>
  <c r="R86" i="1" s="1"/>
  <c r="R80" i="1"/>
  <c r="R82" i="1"/>
  <c r="J81" i="1"/>
  <c r="J83" i="1"/>
  <c r="J86" i="1" s="1"/>
  <c r="J80" i="1"/>
  <c r="J82" i="1"/>
  <c r="H78" i="1"/>
  <c r="N80" i="1"/>
  <c r="N82" i="1"/>
  <c r="N81" i="1"/>
  <c r="N83" i="1"/>
  <c r="N86" i="1" s="1"/>
  <c r="L78" i="1"/>
  <c r="P78" i="1"/>
  <c r="S31" i="1"/>
  <c r="S27" i="1" s="1"/>
  <c r="R31" i="1"/>
  <c r="Q31" i="1"/>
  <c r="Q27" i="1" s="1"/>
  <c r="O31" i="1"/>
  <c r="O27" i="1" s="1"/>
  <c r="N31" i="1"/>
  <c r="P31" i="1"/>
  <c r="S26" i="1"/>
  <c r="R26" i="1"/>
  <c r="R87" i="1" s="1"/>
  <c r="R89" i="1" s="1"/>
  <c r="R45" i="1" s="1"/>
  <c r="R46" i="1" s="1"/>
  <c r="Q26" i="1"/>
  <c r="P26" i="1"/>
  <c r="P87" i="1" s="1"/>
  <c r="O26" i="1"/>
  <c r="N26" i="1"/>
  <c r="N87" i="1" s="1"/>
  <c r="N89" i="1" s="1"/>
  <c r="N45" i="1" s="1"/>
  <c r="N46" i="1" s="1"/>
  <c r="M26" i="1"/>
  <c r="N22" i="1"/>
  <c r="N88" i="1" s="1"/>
  <c r="O22" i="1"/>
  <c r="P22" i="1"/>
  <c r="P88" i="1" s="1"/>
  <c r="Q22" i="1"/>
  <c r="R22" i="1"/>
  <c r="R88" i="1" s="1"/>
  <c r="S22" i="1"/>
  <c r="I22" i="1"/>
  <c r="J22" i="1"/>
  <c r="J88" i="1" s="1"/>
  <c r="K22" i="1"/>
  <c r="L22" i="1"/>
  <c r="L88" i="1" s="1"/>
  <c r="L89" i="1" s="1"/>
  <c r="L45" i="1" s="1"/>
  <c r="M22" i="1"/>
  <c r="H22" i="1"/>
  <c r="H88" i="1" s="1"/>
  <c r="M31" i="1"/>
  <c r="M27" i="1" s="1"/>
  <c r="L31" i="1"/>
  <c r="L27" i="1" s="1"/>
  <c r="J31" i="1"/>
  <c r="J27" i="1" s="1"/>
  <c r="K31" i="1"/>
  <c r="K27" i="1" s="1"/>
  <c r="H31" i="1"/>
  <c r="H27" i="1" s="1"/>
  <c r="I26" i="1"/>
  <c r="J26" i="1"/>
  <c r="J87" i="1" s="1"/>
  <c r="K26" i="1"/>
  <c r="H26" i="1"/>
  <c r="H87" i="1" s="1"/>
  <c r="N27" i="1" l="1"/>
  <c r="N97" i="1" s="1"/>
  <c r="N101" i="1" s="1"/>
  <c r="N103" i="1" s="1"/>
  <c r="J89" i="1"/>
  <c r="J45" i="1" s="1"/>
  <c r="J46" i="1" s="1"/>
  <c r="E8" i="3"/>
  <c r="E12" i="3"/>
  <c r="E16" i="3"/>
  <c r="E20" i="3"/>
  <c r="E24" i="3"/>
  <c r="E28" i="3"/>
  <c r="E32" i="3"/>
  <c r="E5" i="3"/>
  <c r="E9" i="3"/>
  <c r="E13" i="3"/>
  <c r="E17" i="3"/>
  <c r="E25" i="3"/>
  <c r="E29" i="3"/>
  <c r="E4" i="3"/>
  <c r="E21" i="3"/>
  <c r="E33" i="3"/>
  <c r="E6" i="3"/>
  <c r="E10" i="3"/>
  <c r="E14" i="3"/>
  <c r="E18" i="3"/>
  <c r="E22" i="3"/>
  <c r="E26" i="3"/>
  <c r="E30" i="3"/>
  <c r="E34" i="3"/>
  <c r="E7" i="3"/>
  <c r="E11" i="3"/>
  <c r="E15" i="3"/>
  <c r="E19" i="3"/>
  <c r="E23" i="3"/>
  <c r="E27" i="3"/>
  <c r="E31" i="3"/>
  <c r="H89" i="1"/>
  <c r="H45" i="1" s="1"/>
  <c r="P89" i="1"/>
  <c r="P45" i="1" s="1"/>
  <c r="P46" i="1" s="1"/>
  <c r="P27" i="1"/>
  <c r="P97" i="1" s="1"/>
  <c r="P101" i="1" s="1"/>
  <c r="P103" i="1" s="1"/>
  <c r="R27" i="1"/>
  <c r="R97" i="1" s="1"/>
  <c r="R101" i="1" s="1"/>
  <c r="R103" i="1" s="1"/>
  <c r="N84" i="1"/>
  <c r="N47" i="1"/>
  <c r="H80" i="1"/>
  <c r="H83" i="1"/>
  <c r="H86" i="1" s="1"/>
  <c r="J47" i="1"/>
  <c r="J84" i="1"/>
  <c r="P80" i="1"/>
  <c r="P82" i="1"/>
  <c r="P83" i="1"/>
  <c r="P86" i="1" s="1"/>
  <c r="P81" i="1"/>
  <c r="R84" i="1"/>
  <c r="R47" i="1"/>
  <c r="L83" i="1"/>
  <c r="L86" i="1" s="1"/>
  <c r="L81" i="1"/>
  <c r="L46" i="1"/>
  <c r="L82" i="1"/>
  <c r="L80" i="1"/>
  <c r="R85" i="1" l="1"/>
  <c r="R49" i="1" s="1"/>
  <c r="R48" i="1"/>
  <c r="H47" i="1"/>
  <c r="H46" i="1" s="1"/>
  <c r="H84" i="1"/>
  <c r="L47" i="1"/>
  <c r="L84" i="1"/>
  <c r="P47" i="1"/>
  <c r="P84" i="1"/>
  <c r="J85" i="1"/>
  <c r="J49" i="1" s="1"/>
  <c r="J48" i="1"/>
  <c r="N85" i="1"/>
  <c r="N49" i="1" s="1"/>
  <c r="N48" i="1"/>
  <c r="H48" i="1" l="1"/>
  <c r="H85" i="1"/>
  <c r="H49" i="1" s="1"/>
  <c r="P48" i="1"/>
  <c r="P85" i="1"/>
  <c r="P49" i="1" s="1"/>
  <c r="L48" i="1"/>
  <c r="L85" i="1"/>
  <c r="L49" i="1" s="1"/>
</calcChain>
</file>

<file path=xl/sharedStrings.xml><?xml version="1.0" encoding="utf-8"?>
<sst xmlns="http://schemas.openxmlformats.org/spreadsheetml/2006/main" count="339" uniqueCount="198">
  <si>
    <t>Omdreininger</t>
  </si>
  <si>
    <t>Elektrisk effekt</t>
  </si>
  <si>
    <t>Temperatur</t>
  </si>
  <si>
    <t>Ytelsestest</t>
  </si>
  <si>
    <t>Test 1 (40bar/300*C)</t>
  </si>
  <si>
    <t>Test 2 (40bar/450*C)</t>
  </si>
  <si>
    <t>Test 3(40bar/600*C)</t>
  </si>
  <si>
    <t>Test 4(35bar/600*C)</t>
  </si>
  <si>
    <t>Test 5(35bar/450*C)</t>
  </si>
  <si>
    <t>Test 6 (35bar/300*C)</t>
  </si>
  <si>
    <t>Test 7 (30bar/300*C)</t>
  </si>
  <si>
    <t>Test 8 (30bar/450*C)</t>
  </si>
  <si>
    <t>Test 9(30bar/600*C)</t>
  </si>
  <si>
    <t>Trykk</t>
  </si>
  <si>
    <t>Målt TH (*C)</t>
  </si>
  <si>
    <t>Målt trykk (bar)</t>
  </si>
  <si>
    <t>Vibrasjoner (Z-akse)</t>
  </si>
  <si>
    <t>O2%</t>
  </si>
  <si>
    <t>Høytemp</t>
  </si>
  <si>
    <t>La stå!</t>
  </si>
  <si>
    <t>Test 1 (40bar/750*C)</t>
  </si>
  <si>
    <t>Test 2(40bar/600*C)</t>
  </si>
  <si>
    <t>Test 3(40bar/500*C)</t>
  </si>
  <si>
    <t>Test 4(35bar/750*C)</t>
  </si>
  <si>
    <t>Test 5(35bar/600*C)</t>
  </si>
  <si>
    <t>Test 6(35bar/500*C)</t>
  </si>
  <si>
    <t>Test 8(30bar/600*C)</t>
  </si>
  <si>
    <t>Faktiske omdreininger</t>
  </si>
  <si>
    <t>Andel nom.dreiemoment [%]</t>
  </si>
  <si>
    <t>Ampere [A]</t>
  </si>
  <si>
    <t>N.A.</t>
  </si>
  <si>
    <t>Test 1, 14.02.2020</t>
  </si>
  <si>
    <t>Massestrøm 1 kjølevann</t>
  </si>
  <si>
    <t>8,9kg/117s</t>
  </si>
  <si>
    <t>P=tau*omega</t>
  </si>
  <si>
    <t>Temperaturer</t>
  </si>
  <si>
    <t>Kjølevann inn</t>
  </si>
  <si>
    <t>Termisk/Elektrisk effekt</t>
  </si>
  <si>
    <t>Test 1 (30bar)</t>
  </si>
  <si>
    <t>Test 2 (35bar)</t>
  </si>
  <si>
    <t>Test 3 (40bar)</t>
  </si>
  <si>
    <t>Test 4 (40bar)</t>
  </si>
  <si>
    <t>Test 5 (35bar)</t>
  </si>
  <si>
    <t>Test 6 (30bar)</t>
  </si>
  <si>
    <t>Kjølevann ut</t>
  </si>
  <si>
    <t>Trykk (faktisk)</t>
  </si>
  <si>
    <t>TH</t>
  </si>
  <si>
    <t>509,6-770*C</t>
  </si>
  <si>
    <t>Fokusområde</t>
  </si>
  <si>
    <t>ΔT=10*</t>
  </si>
  <si>
    <t>Høy el.effekt</t>
  </si>
  <si>
    <t>ΔT=10* (14:50)</t>
  </si>
  <si>
    <t>Høy el.effekt (14:55)</t>
  </si>
  <si>
    <t>ΔT=10* (15:17)</t>
  </si>
  <si>
    <t>Høy el.effekt (15:10)</t>
  </si>
  <si>
    <t>ΔT=10* (15:33)</t>
  </si>
  <si>
    <t>Høy el.effekt (15:44)</t>
  </si>
  <si>
    <t>LabView</t>
  </si>
  <si>
    <t>TH (750*C)</t>
  </si>
  <si>
    <t>Test 2, 14.02.2020</t>
  </si>
  <si>
    <t>Temp kjølevann inn</t>
  </si>
  <si>
    <t>Norbert 24.02.2020</t>
  </si>
  <si>
    <t>8,9kg/84s</t>
  </si>
  <si>
    <t>Temp kjølevann ut</t>
  </si>
  <si>
    <t>En test med delta T=10K, en med høyest mulig effekt før man går til neste trykk</t>
  </si>
  <si>
    <t>ΔT  (ber.)</t>
  </si>
  <si>
    <t>Hvordan modifisere motoren for å måle TL og TH inne i motoren?</t>
  </si>
  <si>
    <t>beregner</t>
  </si>
  <si>
    <t>Avgitt effekt ut fra generator (ber.)</t>
  </si>
  <si>
    <t>F.omformer</t>
  </si>
  <si>
    <t>Andel av nominelt dreiemoment [%]</t>
  </si>
  <si>
    <t>Termisk virkningsgrad, må ta hensyn til varmetap ut av motoren og eksosgassen</t>
  </si>
  <si>
    <t>Måle</t>
  </si>
  <si>
    <t>Massestrøm kjølevann [g/s]</t>
  </si>
  <si>
    <t xml:space="preserve">Versjon 2: Regne ut massestrøm av propan inn, og massestrøm/varmeoverføring av kjølevannet. </t>
  </si>
  <si>
    <t>Massestrøm Propan [g/s]</t>
  </si>
  <si>
    <t>Tid propan [s]</t>
  </si>
  <si>
    <t>Stoppeklokke</t>
  </si>
  <si>
    <t>Tid kjølevann [s]</t>
  </si>
  <si>
    <t>Vekt kjølevann [kg]</t>
  </si>
  <si>
    <t>Vektdifferanse propan [N]</t>
  </si>
  <si>
    <t>Vektcelle</t>
  </si>
  <si>
    <t>λ</t>
  </si>
  <si>
    <t>Schmidt Analyse</t>
  </si>
  <si>
    <t>Test 1</t>
  </si>
  <si>
    <t>Test 2</t>
  </si>
  <si>
    <t>Test 3</t>
  </si>
  <si>
    <t>Test 4</t>
  </si>
  <si>
    <t>Test 5</t>
  </si>
  <si>
    <t>Test 6</t>
  </si>
  <si>
    <t>Pa</t>
  </si>
  <si>
    <t>Bar</t>
  </si>
  <si>
    <t>Målt TH</t>
  </si>
  <si>
    <t>K</t>
  </si>
  <si>
    <t>Carnot virkningsgrad</t>
  </si>
  <si>
    <t>Termisk virkningsgrad</t>
  </si>
  <si>
    <t>2. lovs virkningsgrad</t>
  </si>
  <si>
    <t>A</t>
  </si>
  <si>
    <t>B</t>
  </si>
  <si>
    <t>c</t>
  </si>
  <si>
    <t>[Pa]</t>
  </si>
  <si>
    <t>[Bar]</t>
  </si>
  <si>
    <t>[K]</t>
  </si>
  <si>
    <t>[J/rev]</t>
  </si>
  <si>
    <t>[W]</t>
  </si>
  <si>
    <t>[m^3]</t>
  </si>
  <si>
    <t>[rad]</t>
  </si>
  <si>
    <t>[J/(kg*K)]</t>
  </si>
  <si>
    <t>[Kg]</t>
  </si>
  <si>
    <t>p</t>
  </si>
  <si>
    <r>
      <t>p</t>
    </r>
    <r>
      <rPr>
        <vertAlign val="subscript"/>
        <sz val="11"/>
        <color theme="1"/>
        <rFont val="Calibri"/>
        <family val="2"/>
        <scheme val="minor"/>
      </rPr>
      <t>maks</t>
    </r>
  </si>
  <si>
    <r>
      <t>p</t>
    </r>
    <r>
      <rPr>
        <vertAlign val="subscript"/>
        <sz val="11"/>
        <color theme="1"/>
        <rFont val="Calibri"/>
        <family val="2"/>
        <scheme val="minor"/>
      </rPr>
      <t>min</t>
    </r>
  </si>
  <si>
    <t>n (turtall)</t>
  </si>
  <si>
    <t>rpm</t>
  </si>
  <si>
    <t>[kW]</t>
  </si>
  <si>
    <t>s (redusert dødvolum)</t>
  </si>
  <si>
    <r>
      <t>m</t>
    </r>
    <r>
      <rPr>
        <vertAlign val="subscript"/>
        <sz val="11"/>
        <color theme="1"/>
        <rFont val="Calibri"/>
        <family val="2"/>
        <scheme val="minor"/>
      </rPr>
      <t>tot</t>
    </r>
  </si>
  <si>
    <r>
      <t>W</t>
    </r>
    <r>
      <rPr>
        <vertAlign val="subscript"/>
        <sz val="11"/>
        <color theme="1"/>
        <rFont val="Calibri"/>
        <family val="2"/>
        <scheme val="minor"/>
      </rPr>
      <t>schmidt</t>
    </r>
  </si>
  <si>
    <r>
      <t>P</t>
    </r>
    <r>
      <rPr>
        <vertAlign val="subscript"/>
        <sz val="11"/>
        <color theme="1"/>
        <rFont val="Calibri"/>
        <family val="2"/>
        <scheme val="minor"/>
      </rPr>
      <t>i,ut</t>
    </r>
  </si>
  <si>
    <r>
      <t>P</t>
    </r>
    <r>
      <rPr>
        <vertAlign val="subscript"/>
        <sz val="11"/>
        <color theme="1"/>
        <rFont val="Calibri"/>
        <family val="2"/>
        <scheme val="minor"/>
      </rPr>
      <t>b</t>
    </r>
  </si>
  <si>
    <t>v (hubvolumforhold)</t>
  </si>
  <si>
    <r>
      <t>R</t>
    </r>
    <r>
      <rPr>
        <vertAlign val="subscript"/>
        <sz val="11"/>
        <color theme="1"/>
        <rFont val="Calibri"/>
        <family val="2"/>
      </rPr>
      <t>s</t>
    </r>
    <r>
      <rPr>
        <sz val="11"/>
        <color theme="1"/>
        <rFont val="Calibri"/>
        <family val="2"/>
      </rPr>
      <t xml:space="preserve"> (spesifikk gasskonstant)</t>
    </r>
  </si>
  <si>
    <t>k (spesifikk varmeforhold)</t>
  </si>
  <si>
    <t>t (temperaturforhold)</t>
  </si>
  <si>
    <r>
      <t>V</t>
    </r>
    <r>
      <rPr>
        <vertAlign val="subscript"/>
        <sz val="11"/>
        <color theme="1"/>
        <rFont val="Calibri"/>
        <family val="2"/>
      </rPr>
      <t>se</t>
    </r>
    <r>
      <rPr>
        <sz val="11"/>
        <color theme="1"/>
        <rFont val="Calibri"/>
        <family val="2"/>
      </rPr>
      <t xml:space="preserve"> (slagvolum ekspansjon)</t>
    </r>
  </si>
  <si>
    <r>
      <t>V</t>
    </r>
    <r>
      <rPr>
        <vertAlign val="subscript"/>
        <sz val="11"/>
        <color theme="1"/>
        <rFont val="Calibri"/>
        <family val="2"/>
      </rPr>
      <t>sk</t>
    </r>
    <r>
      <rPr>
        <sz val="11"/>
        <color theme="1"/>
        <rFont val="Calibri"/>
        <family val="2"/>
      </rPr>
      <t xml:space="preserve"> (slagvolum kompresjon)</t>
    </r>
  </si>
  <si>
    <t>Δ</t>
  </si>
  <si>
    <r>
      <t>V</t>
    </r>
    <r>
      <rPr>
        <vertAlign val="subscript"/>
        <sz val="11"/>
        <color theme="1"/>
        <rFont val="Calibri"/>
        <family val="2"/>
      </rPr>
      <t>de</t>
    </r>
    <r>
      <rPr>
        <sz val="11"/>
        <color theme="1"/>
        <rFont val="Calibri"/>
        <family val="2"/>
      </rPr>
      <t xml:space="preserve"> (dødvolum ekspansjon)</t>
    </r>
  </si>
  <si>
    <r>
      <t>V</t>
    </r>
    <r>
      <rPr>
        <vertAlign val="subscript"/>
        <sz val="11"/>
        <color theme="1"/>
        <rFont val="Calibri"/>
        <family val="2"/>
      </rPr>
      <t>dk</t>
    </r>
    <r>
      <rPr>
        <sz val="11"/>
        <color theme="1"/>
        <rFont val="Calibri"/>
        <family val="2"/>
      </rPr>
      <t xml:space="preserve"> (dødvolum kompresjon)</t>
    </r>
  </si>
  <si>
    <r>
      <t>V</t>
    </r>
    <r>
      <rPr>
        <vertAlign val="subscript"/>
        <sz val="11"/>
        <color theme="1"/>
        <rFont val="Calibri"/>
        <family val="2"/>
      </rPr>
      <t>r</t>
    </r>
    <r>
      <rPr>
        <sz val="11"/>
        <color theme="1"/>
        <rFont val="Calibri"/>
        <family val="2"/>
      </rPr>
      <t xml:space="preserve"> (regeneratorvolum)</t>
    </r>
  </si>
  <si>
    <r>
      <t>X</t>
    </r>
    <r>
      <rPr>
        <vertAlign val="subscript"/>
        <sz val="11"/>
        <color theme="1"/>
        <rFont val="Calibri"/>
        <family val="2"/>
      </rPr>
      <t>b</t>
    </r>
  </si>
  <si>
    <r>
      <t>V</t>
    </r>
    <r>
      <rPr>
        <vertAlign val="subscript"/>
        <sz val="11"/>
        <color theme="1"/>
        <rFont val="Calibri"/>
        <family val="2"/>
      </rPr>
      <t>d</t>
    </r>
  </si>
  <si>
    <r>
      <t>V</t>
    </r>
    <r>
      <rPr>
        <vertAlign val="subscript"/>
        <sz val="11"/>
        <color theme="1"/>
        <rFont val="Calibri"/>
        <family val="2"/>
      </rPr>
      <t xml:space="preserve">e </t>
    </r>
  </si>
  <si>
    <r>
      <t>V</t>
    </r>
    <r>
      <rPr>
        <vertAlign val="subscript"/>
        <sz val="11"/>
        <color theme="1"/>
        <rFont val="Calibri"/>
        <family val="2"/>
      </rPr>
      <t>k</t>
    </r>
  </si>
  <si>
    <r>
      <t>V</t>
    </r>
    <r>
      <rPr>
        <vertAlign val="subscript"/>
        <sz val="11"/>
        <color theme="1"/>
        <rFont val="Calibri"/>
        <family val="2"/>
      </rPr>
      <t>b</t>
    </r>
  </si>
  <si>
    <r>
      <t>V</t>
    </r>
    <r>
      <rPr>
        <vertAlign val="subscript"/>
        <sz val="11"/>
        <color theme="1"/>
        <rFont val="Calibri"/>
        <family val="2"/>
      </rPr>
      <t>tot</t>
    </r>
  </si>
  <si>
    <r>
      <t>T</t>
    </r>
    <r>
      <rPr>
        <vertAlign val="subscript"/>
        <sz val="11"/>
        <color theme="1"/>
        <rFont val="Calibri"/>
        <family val="2"/>
        <scheme val="minor"/>
      </rPr>
      <t>r</t>
    </r>
  </si>
  <si>
    <r>
      <t>P</t>
    </r>
    <r>
      <rPr>
        <vertAlign val="subscript"/>
        <sz val="11"/>
        <color theme="1"/>
        <rFont val="Calibri"/>
        <family val="2"/>
      </rPr>
      <t>i, ut</t>
    </r>
  </si>
  <si>
    <r>
      <t>P</t>
    </r>
    <r>
      <rPr>
        <vertAlign val="subscript"/>
        <sz val="11"/>
        <color theme="1"/>
        <rFont val="Calibri"/>
        <family val="2"/>
      </rPr>
      <t>b</t>
    </r>
  </si>
  <si>
    <r>
      <t>Målt T</t>
    </r>
    <r>
      <rPr>
        <vertAlign val="subscript"/>
        <sz val="11"/>
        <color theme="1"/>
        <rFont val="Calibri"/>
        <family val="2"/>
        <scheme val="minor"/>
      </rPr>
      <t>H</t>
    </r>
  </si>
  <si>
    <r>
      <t>Målt T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( kjølevann ut)</t>
    </r>
  </si>
  <si>
    <r>
      <t>T</t>
    </r>
    <r>
      <rPr>
        <vertAlign val="subscript"/>
        <sz val="11"/>
        <color theme="1"/>
        <rFont val="Calibri"/>
        <family val="2"/>
        <scheme val="minor"/>
      </rPr>
      <t>d</t>
    </r>
  </si>
  <si>
    <r>
      <t>W</t>
    </r>
    <r>
      <rPr>
        <vertAlign val="subscript"/>
        <sz val="11"/>
        <color theme="1"/>
        <rFont val="Calibri"/>
        <family val="2"/>
        <scheme val="minor"/>
      </rPr>
      <t>schmidt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(netto arbeid per syklus)</t>
    </r>
  </si>
  <si>
    <t>α, veivvinkel</t>
  </si>
  <si>
    <t>Vinkeltrinn</t>
  </si>
  <si>
    <t>p [kPa]</t>
  </si>
  <si>
    <t>°C</t>
  </si>
  <si>
    <t>bar</t>
  </si>
  <si>
    <t>m/s</t>
  </si>
  <si>
    <t>Målt trykk</t>
  </si>
  <si>
    <t>Test 9</t>
  </si>
  <si>
    <t>Test 8</t>
  </si>
  <si>
    <t>Test 7</t>
  </si>
  <si>
    <r>
      <t>V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[cm3]</t>
    </r>
  </si>
  <si>
    <t>[rpm]</t>
  </si>
  <si>
    <r>
      <t>Q</t>
    </r>
    <r>
      <rPr>
        <vertAlign val="subscript"/>
        <sz val="11"/>
        <color theme="1"/>
        <rFont val="Calibri"/>
        <family val="2"/>
        <scheme val="minor"/>
      </rPr>
      <t>E</t>
    </r>
  </si>
  <si>
    <t>[J]</t>
  </si>
  <si>
    <r>
      <t>p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(Middeltrykk) </t>
    </r>
  </si>
  <si>
    <t>massestrøm propan</t>
  </si>
  <si>
    <t>[g/s]</t>
  </si>
  <si>
    <t>[J/g]</t>
  </si>
  <si>
    <r>
      <t>C</t>
    </r>
    <r>
      <rPr>
        <vertAlign val="subscript"/>
        <sz val="11"/>
        <color theme="1"/>
        <rFont val="Calibri"/>
        <family val="2"/>
        <scheme val="minor"/>
      </rPr>
      <t>p,vann</t>
    </r>
  </si>
  <si>
    <r>
      <t>c</t>
    </r>
    <r>
      <rPr>
        <vertAlign val="subscript"/>
        <sz val="11"/>
        <color theme="1"/>
        <rFont val="Calibri"/>
        <family val="2"/>
      </rPr>
      <t>v,helium</t>
    </r>
    <r>
      <rPr>
        <sz val="11"/>
        <color theme="1"/>
        <rFont val="Calibri"/>
        <family val="2"/>
      </rPr>
      <t xml:space="preserve"> (spesifikk varmekapasitet)</t>
    </r>
  </si>
  <si>
    <r>
      <t>c</t>
    </r>
    <r>
      <rPr>
        <vertAlign val="subscript"/>
        <sz val="11"/>
        <color theme="1"/>
        <rFont val="Calibri"/>
        <family val="2"/>
      </rPr>
      <t>p,helium</t>
    </r>
    <r>
      <rPr>
        <sz val="11"/>
        <color theme="1"/>
        <rFont val="Calibri"/>
        <family val="2"/>
      </rPr>
      <t xml:space="preserve"> (spesifikk varmekapasitet)</t>
    </r>
  </si>
  <si>
    <r>
      <t>η</t>
    </r>
    <r>
      <rPr>
        <vertAlign val="subscript"/>
        <sz val="11"/>
        <color theme="1"/>
        <rFont val="Calibri"/>
        <family val="2"/>
      </rPr>
      <t>gen</t>
    </r>
  </si>
  <si>
    <r>
      <t>W'</t>
    </r>
    <r>
      <rPr>
        <vertAlign val="subscript"/>
        <sz val="11"/>
        <color theme="1"/>
        <rFont val="Calibri"/>
        <family val="2"/>
        <scheme val="minor"/>
      </rPr>
      <t>netto,ut</t>
    </r>
  </si>
  <si>
    <r>
      <t>m'</t>
    </r>
    <r>
      <rPr>
        <vertAlign val="subscript"/>
        <sz val="11"/>
        <color theme="1"/>
        <rFont val="Calibri"/>
        <family val="2"/>
        <scheme val="minor"/>
      </rPr>
      <t>vann</t>
    </r>
  </si>
  <si>
    <t>ΔT</t>
  </si>
  <si>
    <r>
      <t>Q'</t>
    </r>
    <r>
      <rPr>
        <vertAlign val="subscript"/>
        <sz val="11"/>
        <color theme="1"/>
        <rFont val="Calibri"/>
        <family val="2"/>
        <scheme val="minor"/>
      </rPr>
      <t>ut</t>
    </r>
  </si>
  <si>
    <t>[J/kg*K]</t>
  </si>
  <si>
    <t>Vibrasjoner høytemp</t>
  </si>
  <si>
    <t>Ytelse høytemp</t>
  </si>
  <si>
    <t>W</t>
  </si>
  <si>
    <t>Ytelse høytemperatur</t>
  </si>
  <si>
    <t>Test 8(30bar/750*C)</t>
  </si>
  <si>
    <t>Test 9(30bar/500*C)</t>
  </si>
  <si>
    <t xml:space="preserve">Målt trykk </t>
  </si>
  <si>
    <t>ΔT=10°</t>
  </si>
  <si>
    <r>
      <t>TH (750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C)</t>
    </r>
  </si>
  <si>
    <r>
      <rPr>
        <sz val="11"/>
        <color theme="1"/>
        <rFont val="Calibri"/>
        <family val="2"/>
      </rPr>
      <t>ṁ</t>
    </r>
    <r>
      <rPr>
        <vertAlign val="subscript"/>
        <sz val="11"/>
        <color theme="1"/>
        <rFont val="Calibri"/>
        <family val="2"/>
      </rPr>
      <t>vann</t>
    </r>
    <r>
      <rPr>
        <sz val="11"/>
        <color theme="1"/>
        <rFont val="Calibri"/>
        <family val="2"/>
        <scheme val="minor"/>
      </rPr>
      <t>=høy</t>
    </r>
  </si>
  <si>
    <t>%</t>
  </si>
  <si>
    <t>Elektrisk effekt ut fra brennstofftilførsel</t>
  </si>
  <si>
    <r>
      <t>H</t>
    </r>
    <r>
      <rPr>
        <vertAlign val="subscript"/>
        <sz val="12"/>
        <color theme="1"/>
        <rFont val="Calibri"/>
        <family val="2"/>
        <scheme val="minor"/>
      </rPr>
      <t>n, propan</t>
    </r>
  </si>
  <si>
    <r>
      <t>Q</t>
    </r>
    <r>
      <rPr>
        <vertAlign val="subscript"/>
        <sz val="12"/>
        <color theme="1"/>
        <rFont val="Calibri"/>
        <family val="2"/>
        <scheme val="minor"/>
      </rPr>
      <t>inn</t>
    </r>
  </si>
  <si>
    <r>
      <t>η</t>
    </r>
    <r>
      <rPr>
        <vertAlign val="subscript"/>
        <sz val="12"/>
        <color theme="1"/>
        <rFont val="Calibri"/>
        <family val="2"/>
      </rPr>
      <t>el</t>
    </r>
  </si>
  <si>
    <t>Omdreininger [rpm]</t>
  </si>
  <si>
    <t>Avgitt effekt inn på generator (ber.)</t>
  </si>
  <si>
    <t>Avgitt effekt inn på generator</t>
  </si>
  <si>
    <t>Effekt inn pågenerator</t>
  </si>
  <si>
    <r>
      <rPr>
        <sz val="12"/>
        <color theme="1"/>
        <rFont val="Calibri"/>
        <family val="2"/>
      </rPr>
      <t>η</t>
    </r>
    <r>
      <rPr>
        <vertAlign val="subscript"/>
        <sz val="8.4"/>
        <color theme="1"/>
        <rFont val="Calibri"/>
        <family val="2"/>
      </rPr>
      <t>gen</t>
    </r>
  </si>
  <si>
    <r>
      <t>P</t>
    </r>
    <r>
      <rPr>
        <vertAlign val="subscript"/>
        <sz val="12"/>
        <color theme="1"/>
        <rFont val="Calibri"/>
        <family val="2"/>
        <scheme val="minor"/>
      </rPr>
      <t>motor</t>
    </r>
  </si>
  <si>
    <r>
      <rPr>
        <sz val="11"/>
        <color theme="1"/>
        <rFont val="Calibri"/>
        <family val="2"/>
      </rPr>
      <t>α</t>
    </r>
    <r>
      <rPr>
        <sz val="7.6"/>
        <color theme="1"/>
        <rFont val="Calibri"/>
        <family val="2"/>
      </rPr>
      <t xml:space="preserve"> (</t>
    </r>
    <r>
      <rPr>
        <sz val="11"/>
        <color theme="1"/>
        <rFont val="Calibri"/>
        <family val="2"/>
      </rPr>
      <t>Veivvinkel,0</t>
    </r>
    <r>
      <rPr>
        <sz val="11"/>
        <color theme="1"/>
        <rFont val="Calibri"/>
        <family val="2"/>
      </rPr>
      <t>˚</t>
    </r>
    <r>
      <rPr>
        <sz val="11"/>
        <color theme="1"/>
        <rFont val="Calibri"/>
        <family val="2"/>
      </rPr>
      <t xml:space="preserve">) </t>
    </r>
  </si>
  <si>
    <r>
      <t>β (</t>
    </r>
    <r>
      <rPr>
        <sz val="11"/>
        <color theme="1"/>
        <rFont val="Calibri"/>
        <family val="2"/>
      </rPr>
      <t>Faseforskyvning, 60</t>
    </r>
    <r>
      <rPr>
        <sz val="11"/>
        <color theme="1"/>
        <rFont val="Calibri"/>
        <family val="2"/>
      </rPr>
      <t>˚)</t>
    </r>
  </si>
  <si>
    <t>ΔT=10° - Dag 1</t>
  </si>
  <si>
    <t>ΔT=10° - Dag 2</t>
  </si>
  <si>
    <t>Høy el.effekt - Dag 1</t>
  </si>
  <si>
    <t>Høy el.effekt - Dag 2</t>
  </si>
  <si>
    <t>Maksimalt dreiemoment [Nm]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</si>
</sst>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vertAlign val="subscript"/>
      <sz val="8.4"/>
      <color theme="1"/>
      <name val="Calibri"/>
      <family val="2"/>
    </font>
    <font>
      <sz val="7.6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1" fillId="0" borderId="2" xfId="0" applyFont="1" applyBorder="1"/>
    <xf numFmtId="0" fontId="0" fillId="0" borderId="0" xfId="0" applyFill="1" applyBorder="1"/>
    <xf numFmtId="0" fontId="0" fillId="0" borderId="2" xfId="0" applyFill="1" applyBorder="1"/>
    <xf numFmtId="0" fontId="0" fillId="0" borderId="5" xfId="0" applyFill="1" applyBorder="1"/>
    <xf numFmtId="0" fontId="0" fillId="0" borderId="0" xfId="0" applyBorder="1"/>
    <xf numFmtId="0" fontId="0" fillId="0" borderId="7" xfId="0" applyFill="1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3" xfId="0" applyBorder="1"/>
    <xf numFmtId="0" fontId="0" fillId="0" borderId="27" xfId="0" applyBorder="1"/>
    <xf numFmtId="0" fontId="2" fillId="0" borderId="21" xfId="0" applyFont="1" applyBorder="1"/>
    <xf numFmtId="0" fontId="2" fillId="0" borderId="26" xfId="0" applyFont="1" applyBorder="1"/>
    <xf numFmtId="20" fontId="0" fillId="0" borderId="0" xfId="0" applyNumberFormat="1"/>
    <xf numFmtId="20" fontId="2" fillId="0" borderId="0" xfId="0" applyNumberFormat="1" applyFont="1"/>
    <xf numFmtId="0" fontId="1" fillId="0" borderId="35" xfId="0" applyFont="1" applyBorder="1"/>
    <xf numFmtId="0" fontId="0" fillId="0" borderId="24" xfId="0" applyBorder="1"/>
    <xf numFmtId="0" fontId="0" fillId="0" borderId="39" xfId="0" applyBorder="1"/>
    <xf numFmtId="0" fontId="0" fillId="0" borderId="5" xfId="0" applyBorder="1"/>
    <xf numFmtId="0" fontId="1" fillId="0" borderId="40" xfId="0" applyFont="1" applyBorder="1"/>
    <xf numFmtId="0" fontId="0" fillId="0" borderId="41" xfId="0" applyBorder="1" applyAlignment="1">
      <alignment shrinkToFit="1"/>
    </xf>
    <xf numFmtId="0" fontId="0" fillId="0" borderId="42" xfId="0" applyBorder="1" applyAlignment="1">
      <alignment shrinkToFit="1"/>
    </xf>
    <xf numFmtId="0" fontId="0" fillId="0" borderId="43" xfId="0" applyBorder="1" applyAlignment="1">
      <alignment shrinkToFit="1"/>
    </xf>
    <xf numFmtId="0" fontId="0" fillId="0" borderId="44" xfId="0" applyBorder="1" applyAlignment="1">
      <alignment shrinkToFit="1"/>
    </xf>
    <xf numFmtId="0" fontId="0" fillId="0" borderId="0" xfId="0" applyFont="1" applyFill="1" applyBorder="1"/>
    <xf numFmtId="2" fontId="0" fillId="0" borderId="0" xfId="0" applyNumberFormat="1" applyFill="1" applyBorder="1"/>
    <xf numFmtId="0" fontId="4" fillId="0" borderId="0" xfId="0" applyFont="1"/>
    <xf numFmtId="2" fontId="0" fillId="2" borderId="28" xfId="0" applyNumberFormat="1" applyFill="1" applyBorder="1"/>
    <xf numFmtId="2" fontId="0" fillId="2" borderId="29" xfId="0" applyNumberFormat="1" applyFill="1" applyBorder="1"/>
    <xf numFmtId="2" fontId="0" fillId="2" borderId="30" xfId="0" applyNumberFormat="1" applyFill="1" applyBorder="1"/>
    <xf numFmtId="2" fontId="0" fillId="2" borderId="31" xfId="0" applyNumberFormat="1" applyFill="1" applyBorder="1"/>
    <xf numFmtId="0" fontId="3" fillId="3" borderId="6" xfId="0" applyFont="1" applyFill="1" applyBorder="1"/>
    <xf numFmtId="2" fontId="0" fillId="3" borderId="30" xfId="0" applyNumberFormat="1" applyFill="1" applyBorder="1"/>
    <xf numFmtId="2" fontId="0" fillId="3" borderId="22" xfId="0" applyNumberFormat="1" applyFill="1" applyBorder="1"/>
    <xf numFmtId="2" fontId="0" fillId="3" borderId="8" xfId="0" applyNumberFormat="1" applyFill="1" applyBorder="1"/>
    <xf numFmtId="2" fontId="0" fillId="3" borderId="31" xfId="0" applyNumberFormat="1" applyFill="1" applyBorder="1"/>
    <xf numFmtId="2" fontId="0" fillId="3" borderId="6" xfId="0" applyNumberFormat="1" applyFill="1" applyBorder="1"/>
    <xf numFmtId="2" fontId="0" fillId="4" borderId="30" xfId="0" applyNumberFormat="1" applyFill="1" applyBorder="1"/>
    <xf numFmtId="2" fontId="0" fillId="4" borderId="31" xfId="0" applyNumberFormat="1" applyFill="1" applyBorder="1"/>
    <xf numFmtId="2" fontId="0" fillId="4" borderId="2" xfId="0" applyNumberFormat="1" applyFill="1" applyBorder="1"/>
    <xf numFmtId="0" fontId="0" fillId="4" borderId="30" xfId="0" applyFill="1" applyBorder="1"/>
    <xf numFmtId="0" fontId="0" fillId="4" borderId="31" xfId="0" applyFill="1" applyBorder="1"/>
    <xf numFmtId="0" fontId="0" fillId="4" borderId="2" xfId="0" applyFill="1" applyBorder="1"/>
    <xf numFmtId="2" fontId="0" fillId="4" borderId="31" xfId="0" applyNumberFormat="1" applyFont="1" applyFill="1" applyBorder="1"/>
    <xf numFmtId="0" fontId="0" fillId="0" borderId="2" xfId="0" applyBorder="1" applyAlignment="1">
      <alignment horizontal="center" shrinkToFit="1"/>
    </xf>
    <xf numFmtId="0" fontId="2" fillId="0" borderId="0" xfId="0" applyFont="1"/>
    <xf numFmtId="2" fontId="0" fillId="0" borderId="0" xfId="0" applyNumberFormat="1"/>
    <xf numFmtId="0" fontId="1" fillId="0" borderId="0" xfId="0" applyFont="1"/>
    <xf numFmtId="0" fontId="2" fillId="0" borderId="45" xfId="0" applyFont="1" applyBorder="1"/>
    <xf numFmtId="0" fontId="0" fillId="6" borderId="5" xfId="0" applyFill="1" applyBorder="1"/>
    <xf numFmtId="0" fontId="0" fillId="6" borderId="2" xfId="0" applyFill="1" applyBorder="1"/>
    <xf numFmtId="0" fontId="0" fillId="7" borderId="41" xfId="0" applyFill="1" applyBorder="1" applyAlignment="1">
      <alignment shrinkToFit="1"/>
    </xf>
    <xf numFmtId="0" fontId="0" fillId="7" borderId="43" xfId="0" applyFill="1" applyBorder="1" applyAlignment="1">
      <alignment shrinkToFit="1"/>
    </xf>
    <xf numFmtId="0" fontId="0" fillId="0" borderId="6" xfId="0" applyFont="1" applyBorder="1" applyAlignment="1"/>
    <xf numFmtId="0" fontId="0" fillId="0" borderId="2" xfId="0" applyBorder="1" applyAlignment="1">
      <alignment shrinkToFit="1"/>
    </xf>
    <xf numFmtId="0" fontId="0" fillId="0" borderId="6" xfId="0" applyBorder="1" applyAlignment="1">
      <alignment shrinkToFit="1"/>
    </xf>
    <xf numFmtId="0" fontId="0" fillId="0" borderId="8" xfId="0" applyBorder="1" applyAlignment="1">
      <alignment shrinkToFit="1"/>
    </xf>
    <xf numFmtId="0" fontId="0" fillId="8" borderId="35" xfId="0" applyFill="1" applyBorder="1"/>
    <xf numFmtId="0" fontId="0" fillId="8" borderId="50" xfId="0" applyFill="1" applyBorder="1"/>
    <xf numFmtId="0" fontId="0" fillId="8" borderId="51" xfId="0" applyFill="1" applyBorder="1"/>
    <xf numFmtId="0" fontId="0" fillId="5" borderId="28" xfId="0" applyFill="1" applyBorder="1"/>
    <xf numFmtId="0" fontId="0" fillId="5" borderId="5" xfId="0" applyFill="1" applyBorder="1"/>
    <xf numFmtId="0" fontId="0" fillId="5" borderId="30" xfId="0" applyFill="1" applyBorder="1"/>
    <xf numFmtId="0" fontId="0" fillId="5" borderId="2" xfId="0" applyFill="1" applyBorder="1"/>
    <xf numFmtId="0" fontId="0" fillId="5" borderId="32" xfId="0" applyFill="1" applyBorder="1"/>
    <xf numFmtId="0" fontId="0" fillId="5" borderId="53" xfId="0" applyFill="1" applyBorder="1"/>
    <xf numFmtId="0" fontId="0" fillId="9" borderId="55" xfId="0" applyFill="1" applyBorder="1"/>
    <xf numFmtId="0" fontId="0" fillId="9" borderId="0" xfId="0" applyFill="1"/>
    <xf numFmtId="0" fontId="0" fillId="9" borderId="56" xfId="0" applyFill="1" applyBorder="1"/>
    <xf numFmtId="0" fontId="3" fillId="10" borderId="28" xfId="0" applyFont="1" applyFill="1" applyBorder="1"/>
    <xf numFmtId="0" fontId="3" fillId="10" borderId="5" xfId="0" applyFont="1" applyFill="1" applyBorder="1"/>
    <xf numFmtId="0" fontId="3" fillId="10" borderId="30" xfId="0" applyFont="1" applyFill="1" applyBorder="1"/>
    <xf numFmtId="0" fontId="3" fillId="10" borderId="2" xfId="0" applyFont="1" applyFill="1" applyBorder="1"/>
    <xf numFmtId="0" fontId="0" fillId="10" borderId="30" xfId="0" applyFill="1" applyBorder="1"/>
    <xf numFmtId="0" fontId="0" fillId="10" borderId="2" xfId="0" applyFill="1" applyBorder="1"/>
    <xf numFmtId="0" fontId="3" fillId="11" borderId="30" xfId="0" applyFont="1" applyFill="1" applyBorder="1"/>
    <xf numFmtId="0" fontId="3" fillId="11" borderId="2" xfId="0" applyFont="1" applyFill="1" applyBorder="1"/>
    <xf numFmtId="0" fontId="0" fillId="10" borderId="26" xfId="0" applyFill="1" applyBorder="1"/>
    <xf numFmtId="0" fontId="0" fillId="10" borderId="57" xfId="0" applyFill="1" applyBorder="1"/>
    <xf numFmtId="0" fontId="0" fillId="4" borderId="16" xfId="0" applyFill="1" applyBorder="1"/>
    <xf numFmtId="0" fontId="0" fillId="4" borderId="55" xfId="0" applyFill="1" applyBorder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2" fillId="11" borderId="30" xfId="0" applyFont="1" applyFill="1" applyBorder="1"/>
    <xf numFmtId="0" fontId="0" fillId="10" borderId="32" xfId="0" applyFill="1" applyBorder="1"/>
    <xf numFmtId="0" fontId="0" fillId="10" borderId="57" xfId="0" applyFont="1" applyFill="1" applyBorder="1"/>
    <xf numFmtId="0" fontId="0" fillId="10" borderId="45" xfId="0" applyFill="1" applyBorder="1"/>
    <xf numFmtId="0" fontId="0" fillId="10" borderId="28" xfId="0" applyFill="1" applyBorder="1"/>
    <xf numFmtId="0" fontId="2" fillId="10" borderId="30" xfId="0" applyFont="1" applyFill="1" applyBorder="1"/>
    <xf numFmtId="0" fontId="0" fillId="11" borderId="30" xfId="0" applyFill="1" applyBorder="1"/>
    <xf numFmtId="0" fontId="0" fillId="0" borderId="5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0" xfId="0" applyBorder="1" applyAlignment="1">
      <alignment horizontal="center"/>
    </xf>
    <xf numFmtId="2" fontId="0" fillId="2" borderId="2" xfId="0" applyNumberFormat="1" applyFill="1" applyBorder="1"/>
    <xf numFmtId="2" fontId="0" fillId="3" borderId="2" xfId="0" applyNumberFormat="1" applyFill="1" applyBorder="1"/>
    <xf numFmtId="2" fontId="0" fillId="4" borderId="30" xfId="0" applyNumberFormat="1" applyFont="1" applyFill="1" applyBorder="1"/>
    <xf numFmtId="2" fontId="0" fillId="4" borderId="2" xfId="0" applyNumberFormat="1" applyFont="1" applyFill="1" applyBorder="1"/>
    <xf numFmtId="0" fontId="0" fillId="0" borderId="59" xfId="0" applyBorder="1" applyAlignment="1">
      <alignment horizontal="center"/>
    </xf>
    <xf numFmtId="0" fontId="0" fillId="0" borderId="31" xfId="0" applyBorder="1" applyAlignment="1">
      <alignment horizontal="center"/>
    </xf>
    <xf numFmtId="2" fontId="0" fillId="0" borderId="26" xfId="0" applyNumberFormat="1" applyBorder="1"/>
    <xf numFmtId="2" fontId="0" fillId="0" borderId="57" xfId="0" applyNumberFormat="1" applyBorder="1"/>
    <xf numFmtId="2" fontId="0" fillId="0" borderId="27" xfId="0" applyNumberFormat="1" applyBorder="1"/>
    <xf numFmtId="0" fontId="0" fillId="0" borderId="45" xfId="0" applyBorder="1"/>
    <xf numFmtId="0" fontId="0" fillId="0" borderId="59" xfId="0" applyBorder="1"/>
    <xf numFmtId="0" fontId="0" fillId="0" borderId="31" xfId="0" applyBorder="1"/>
    <xf numFmtId="0" fontId="0" fillId="0" borderId="21" xfId="0" applyFill="1" applyBorder="1"/>
    <xf numFmtId="0" fontId="0" fillId="7" borderId="41" xfId="0" applyFill="1" applyBorder="1" applyAlignment="1">
      <alignment horizontal="center" shrinkToFit="1"/>
    </xf>
    <xf numFmtId="0" fontId="0" fillId="7" borderId="43" xfId="0" applyFill="1" applyBorder="1" applyAlignment="1">
      <alignment horizontal="center" shrinkToFit="1"/>
    </xf>
    <xf numFmtId="0" fontId="0" fillId="6" borderId="58" xfId="0" applyFill="1" applyBorder="1"/>
    <xf numFmtId="0" fontId="0" fillId="6" borderId="30" xfId="0" applyFill="1" applyBorder="1"/>
    <xf numFmtId="0" fontId="0" fillId="6" borderId="26" xfId="0" applyFill="1" applyBorder="1"/>
    <xf numFmtId="0" fontId="0" fillId="3" borderId="18" xfId="0" applyFill="1" applyBorder="1"/>
    <xf numFmtId="0" fontId="0" fillId="2" borderId="62" xfId="0" applyFill="1" applyBorder="1"/>
    <xf numFmtId="0" fontId="0" fillId="2" borderId="33" xfId="0" applyFill="1" applyBorder="1"/>
    <xf numFmtId="0" fontId="3" fillId="2" borderId="33" xfId="0" applyFont="1" applyFill="1" applyBorder="1"/>
    <xf numFmtId="0" fontId="0" fillId="3" borderId="63" xfId="0" applyFill="1" applyBorder="1"/>
    <xf numFmtId="166" fontId="0" fillId="2" borderId="28" xfId="0" applyNumberFormat="1" applyFill="1" applyBorder="1"/>
    <xf numFmtId="166" fontId="0" fillId="2" borderId="29" xfId="0" applyNumberFormat="1" applyFill="1" applyBorder="1"/>
    <xf numFmtId="166" fontId="0" fillId="2" borderId="30" xfId="0" applyNumberFormat="1" applyFill="1" applyBorder="1"/>
    <xf numFmtId="166" fontId="0" fillId="2" borderId="31" xfId="0" applyNumberFormat="1" applyFill="1" applyBorder="1"/>
    <xf numFmtId="166" fontId="0" fillId="3" borderId="26" xfId="0" applyNumberFormat="1" applyFill="1" applyBorder="1"/>
    <xf numFmtId="166" fontId="0" fillId="3" borderId="27" xfId="0" applyNumberFormat="1" applyFill="1" applyBorder="1"/>
    <xf numFmtId="0" fontId="2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/>
    <xf numFmtId="2" fontId="0" fillId="2" borderId="58" xfId="0" applyNumberFormat="1" applyFill="1" applyBorder="1"/>
    <xf numFmtId="2" fontId="0" fillId="2" borderId="59" xfId="0" applyNumberFormat="1" applyFill="1" applyBorder="1"/>
    <xf numFmtId="2" fontId="0" fillId="0" borderId="27" xfId="0" applyNumberFormat="1" applyFont="1" applyBorder="1"/>
    <xf numFmtId="0" fontId="3" fillId="3" borderId="33" xfId="0" applyFont="1" applyFill="1" applyBorder="1"/>
    <xf numFmtId="0" fontId="0" fillId="3" borderId="33" xfId="0" applyFill="1" applyBorder="1"/>
    <xf numFmtId="0" fontId="0" fillId="4" borderId="33" xfId="0" applyFill="1" applyBorder="1"/>
    <xf numFmtId="0" fontId="0" fillId="0" borderId="63" xfId="0" applyFill="1" applyBorder="1"/>
    <xf numFmtId="0" fontId="8" fillId="0" borderId="0" xfId="0" applyFont="1"/>
    <xf numFmtId="0" fontId="10" fillId="0" borderId="0" xfId="0" applyFont="1"/>
    <xf numFmtId="0" fontId="2" fillId="3" borderId="33" xfId="0" applyFont="1" applyFill="1" applyBorder="1"/>
    <xf numFmtId="0" fontId="0" fillId="4" borderId="34" xfId="0" applyFill="1" applyBorder="1"/>
    <xf numFmtId="2" fontId="0" fillId="2" borderId="5" xfId="0" applyNumberFormat="1" applyFill="1" applyBorder="1"/>
    <xf numFmtId="0" fontId="2" fillId="0" borderId="5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2" fontId="0" fillId="10" borderId="6" xfId="0" applyNumberFormat="1" applyFill="1" applyBorder="1" applyAlignment="1">
      <alignment horizontal="center"/>
    </xf>
    <xf numFmtId="2" fontId="0" fillId="10" borderId="8" xfId="0" applyNumberFormat="1" applyFill="1" applyBorder="1" applyAlignment="1">
      <alignment horizontal="center"/>
    </xf>
    <xf numFmtId="2" fontId="0" fillId="10" borderId="60" xfId="0" applyNumberFormat="1" applyFill="1" applyBorder="1" applyAlignment="1">
      <alignment horizontal="center"/>
    </xf>
    <xf numFmtId="0" fontId="0" fillId="10" borderId="61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2" fontId="0" fillId="10" borderId="57" xfId="0" applyNumberFormat="1" applyFill="1" applyBorder="1" applyAlignment="1">
      <alignment horizontal="center"/>
    </xf>
    <xf numFmtId="0" fontId="0" fillId="10" borderId="5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165" fontId="0" fillId="11" borderId="2" xfId="0" applyNumberFormat="1" applyFill="1" applyBorder="1" applyAlignment="1">
      <alignment horizontal="center"/>
    </xf>
    <xf numFmtId="165" fontId="0" fillId="11" borderId="31" xfId="0" applyNumberFormat="1" applyFill="1" applyBorder="1" applyAlignment="1">
      <alignment horizontal="center"/>
    </xf>
    <xf numFmtId="166" fontId="0" fillId="10" borderId="2" xfId="0" applyNumberFormat="1" applyFill="1" applyBorder="1" applyAlignment="1">
      <alignment horizontal="center"/>
    </xf>
    <xf numFmtId="166" fontId="0" fillId="10" borderId="31" xfId="0" applyNumberForma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164" fontId="0" fillId="10" borderId="2" xfId="0" applyNumberFormat="1" applyFill="1" applyBorder="1" applyAlignment="1">
      <alignment horizontal="center"/>
    </xf>
    <xf numFmtId="0" fontId="0" fillId="5" borderId="53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164" fontId="0" fillId="10" borderId="5" xfId="0" applyNumberFormat="1" applyFill="1" applyBorder="1" applyAlignment="1">
      <alignment horizontal="center"/>
    </xf>
    <xf numFmtId="164" fontId="0" fillId="10" borderId="29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8" borderId="51" xfId="0" applyFill="1" applyBorder="1" applyAlignment="1">
      <alignment horizontal="center"/>
    </xf>
    <xf numFmtId="0" fontId="0" fillId="8" borderId="5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8" borderId="48" xfId="0" applyFont="1" applyFill="1" applyBorder="1" applyAlignment="1">
      <alignment horizontal="center"/>
    </xf>
    <xf numFmtId="0" fontId="1" fillId="8" borderId="49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Ytelsestest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40bar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Høytemp!$R$4:$R$6</c:f>
              <c:numCache>
                <c:formatCode>General</c:formatCode>
                <c:ptCount val="3"/>
                <c:pt idx="0">
                  <c:v>750</c:v>
                </c:pt>
                <c:pt idx="1">
                  <c:v>600</c:v>
                </c:pt>
                <c:pt idx="2">
                  <c:v>500</c:v>
                </c:pt>
              </c:numCache>
            </c:numRef>
          </c:cat>
          <c:val>
            <c:numRef>
              <c:f>Høytemp!$H$12:$J$12</c:f>
              <c:numCache>
                <c:formatCode>General</c:formatCode>
                <c:ptCount val="3"/>
                <c:pt idx="0">
                  <c:v>557.62012964157407</c:v>
                </c:pt>
                <c:pt idx="1">
                  <c:v>-91.880589543213901</c:v>
                </c:pt>
                <c:pt idx="2">
                  <c:v>-769.89597444830952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3-481A-86A3-C8692385CD14}"/>
            </c:ext>
          </c:extLst>
        </c:ser>
        <c:ser>
          <c:idx val="1"/>
          <c:order val="1"/>
          <c:tx>
            <c:v>35bar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Høytemp!$R$4:$R$6</c:f>
              <c:numCache>
                <c:formatCode>General</c:formatCode>
                <c:ptCount val="3"/>
                <c:pt idx="0">
                  <c:v>750</c:v>
                </c:pt>
                <c:pt idx="1">
                  <c:v>600</c:v>
                </c:pt>
                <c:pt idx="2">
                  <c:v>500</c:v>
                </c:pt>
              </c:numCache>
            </c:numRef>
          </c:cat>
          <c:val>
            <c:numRef>
              <c:f>Høytemp!$K$12:$M$12</c:f>
              <c:numCache>
                <c:formatCode>General</c:formatCode>
                <c:ptCount val="3"/>
                <c:pt idx="0">
                  <c:v>627.3226458467708</c:v>
                </c:pt>
                <c:pt idx="1">
                  <c:v>-25.346369529162452</c:v>
                </c:pt>
                <c:pt idx="2">
                  <c:v>-681.18368109624089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3-481A-86A3-C8692385CD14}"/>
            </c:ext>
          </c:extLst>
        </c:ser>
        <c:ser>
          <c:idx val="2"/>
          <c:order val="2"/>
          <c:tx>
            <c:v>30bar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Høytemp!$R$4:$R$6</c:f>
              <c:numCache>
                <c:formatCode>General</c:formatCode>
                <c:ptCount val="3"/>
                <c:pt idx="0">
                  <c:v>750</c:v>
                </c:pt>
                <c:pt idx="1">
                  <c:v>600</c:v>
                </c:pt>
                <c:pt idx="2">
                  <c:v>500</c:v>
                </c:pt>
              </c:numCache>
            </c:numRef>
          </c:cat>
          <c:val>
            <c:numRef>
              <c:f>Høytemp!$N$12:$P$12</c:f>
              <c:numCache>
                <c:formatCode>General</c:formatCode>
                <c:ptCount val="3"/>
                <c:pt idx="0">
                  <c:v>582.96649917073648</c:v>
                </c:pt>
                <c:pt idx="1">
                  <c:v>-47.524442867179602</c:v>
                </c:pt>
                <c:pt idx="2">
                  <c:v>-465.73954009836007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3-481A-86A3-C8692385C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571263"/>
        <c:axId val="1248298687"/>
      </c:lineChart>
      <c:catAx>
        <c:axId val="1081571263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Høyeste</a:t>
                </a:r>
                <a:r>
                  <a:rPr lang="nb-NO" baseline="0"/>
                  <a:t> temperatur [</a:t>
                </a:r>
                <a:r>
                  <a:rPr lang="nb-NO" baseline="0">
                    <a:latin typeface="Calibri" panose="020F0502020204030204" pitchFamily="34" charset="0"/>
                  </a:rPr>
                  <a:t>°C]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298687"/>
        <c:crosses val="autoZero"/>
        <c:auto val="1"/>
        <c:lblAlgn val="ctr"/>
        <c:lblOffset val="100"/>
        <c:noMultiLvlLbl val="0"/>
      </c:catAx>
      <c:valAx>
        <c:axId val="124829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Effekt ut fra generator [W]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571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Ytelse ifht</a:t>
            </a:r>
            <a:r>
              <a:rPr lang="nb-NO" baseline="0"/>
              <a:t> </a:t>
            </a:r>
            <a:r>
              <a:rPr lang="el-GR" baseline="0"/>
              <a:t>Δ</a:t>
            </a:r>
            <a:r>
              <a:rPr lang="nb-NO" baseline="0"/>
              <a:t>T kjølevann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Høytemp!$AF$29</c:f>
              <c:strCache>
                <c:ptCount val="1"/>
                <c:pt idx="0">
                  <c:v>ΔT=10° - Dag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(Høytemp!$H$17,Høytemp!$J$17,Høytemp!$L$17)</c:f>
              <c:numCache>
                <c:formatCode>General</c:formatCode>
                <c:ptCount val="3"/>
                <c:pt idx="0">
                  <c:v>30</c:v>
                </c:pt>
                <c:pt idx="1">
                  <c:v>35</c:v>
                </c:pt>
                <c:pt idx="2">
                  <c:v>40</c:v>
                </c:pt>
              </c:numCache>
            </c:numRef>
          </c:cat>
          <c:val>
            <c:numRef>
              <c:f>(Høytemp!$H$24,Høytemp!$J$24,Høytemp!$L$24)</c:f>
              <c:numCache>
                <c:formatCode>0.00</c:formatCode>
                <c:ptCount val="3"/>
                <c:pt idx="0">
                  <c:v>523.1173841200017</c:v>
                </c:pt>
                <c:pt idx="1">
                  <c:v>596.43387018056467</c:v>
                </c:pt>
                <c:pt idx="2">
                  <c:v>649.93371966424456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2B-407B-8123-AEAB0E777B5F}"/>
            </c:ext>
          </c:extLst>
        </c:ser>
        <c:ser>
          <c:idx val="1"/>
          <c:order val="1"/>
          <c:tx>
            <c:strRef>
              <c:f>Høytemp!$AF$31</c:f>
              <c:strCache>
                <c:ptCount val="1"/>
                <c:pt idx="0">
                  <c:v>Høy el.effekt - Dag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(Høytemp!$H$17,Høytemp!$J$17,Høytemp!$L$17)</c:f>
              <c:numCache>
                <c:formatCode>General</c:formatCode>
                <c:ptCount val="3"/>
                <c:pt idx="0">
                  <c:v>30</c:v>
                </c:pt>
                <c:pt idx="1">
                  <c:v>35</c:v>
                </c:pt>
                <c:pt idx="2">
                  <c:v>40</c:v>
                </c:pt>
              </c:numCache>
            </c:numRef>
          </c:cat>
          <c:val>
            <c:numRef>
              <c:f>(Høytemp!$I$24,Høytemp!$K$24,Høytemp!$M$24)</c:f>
              <c:numCache>
                <c:formatCode>0.00</c:formatCode>
                <c:ptCount val="3"/>
                <c:pt idx="0">
                  <c:v>522.07184637692376</c:v>
                </c:pt>
                <c:pt idx="1">
                  <c:v>596.43387018056467</c:v>
                </c:pt>
                <c:pt idx="2">
                  <c:v>581.80056617239495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2B-407B-8123-AEAB0E777B5F}"/>
            </c:ext>
          </c:extLst>
        </c:ser>
        <c:ser>
          <c:idx val="2"/>
          <c:order val="2"/>
          <c:tx>
            <c:strRef>
              <c:f>Høytemp!$AF$30</c:f>
              <c:strCache>
                <c:ptCount val="1"/>
                <c:pt idx="0">
                  <c:v>ΔT=10° - Dag 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(Høytemp!$H$17,Høytemp!$J$17,Høytemp!$L$17)</c:f>
              <c:numCache>
                <c:formatCode>General</c:formatCode>
                <c:ptCount val="3"/>
                <c:pt idx="0">
                  <c:v>30</c:v>
                </c:pt>
                <c:pt idx="1">
                  <c:v>35</c:v>
                </c:pt>
                <c:pt idx="2">
                  <c:v>40</c:v>
                </c:pt>
              </c:numCache>
            </c:numRef>
          </c:cat>
          <c:val>
            <c:numRef>
              <c:f>(Høytemp!$R$24,Høytemp!$P$24,Høytemp!$N$24)</c:f>
              <c:numCache>
                <c:formatCode>0.00</c:formatCode>
                <c:ptCount val="3"/>
                <c:pt idx="0">
                  <c:v>531.91891093900324</c:v>
                </c:pt>
                <c:pt idx="1">
                  <c:v>859.18067331224518</c:v>
                </c:pt>
                <c:pt idx="2">
                  <c:v>850.23551706591138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2B-407B-8123-AEAB0E777B5F}"/>
            </c:ext>
          </c:extLst>
        </c:ser>
        <c:ser>
          <c:idx val="3"/>
          <c:order val="3"/>
          <c:tx>
            <c:strRef>
              <c:f>Høytemp!$AF$32</c:f>
              <c:strCache>
                <c:ptCount val="1"/>
                <c:pt idx="0">
                  <c:v>Høy el.effekt - Dag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(Høytemp!$H$17,Høytemp!$J$17,Høytemp!$L$17)</c:f>
              <c:numCache>
                <c:formatCode>General</c:formatCode>
                <c:ptCount val="3"/>
                <c:pt idx="0">
                  <c:v>30</c:v>
                </c:pt>
                <c:pt idx="1">
                  <c:v>35</c:v>
                </c:pt>
                <c:pt idx="2">
                  <c:v>40</c:v>
                </c:pt>
              </c:numCache>
            </c:numRef>
          </c:cat>
          <c:val>
            <c:numRef>
              <c:f>(Høytemp!$S$24,Høytemp!$Q$24,Høytemp!$O$24)</c:f>
              <c:numCache>
                <c:formatCode>0.00</c:formatCode>
                <c:ptCount val="3"/>
                <c:pt idx="0">
                  <c:v>563.20477972783294</c:v>
                </c:pt>
                <c:pt idx="1">
                  <c:v>788.37981442745115</c:v>
                </c:pt>
                <c:pt idx="2">
                  <c:v>910.64436444374871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2B-407B-8123-AEAB0E777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761295"/>
        <c:axId val="1127755375"/>
      </c:lineChart>
      <c:catAx>
        <c:axId val="11247612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Trykk</a:t>
                </a:r>
                <a:r>
                  <a:rPr lang="nb-NO" baseline="0"/>
                  <a:t> [bar]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755375"/>
        <c:crosses val="autoZero"/>
        <c:auto val="1"/>
        <c:lblAlgn val="ctr"/>
        <c:lblOffset val="100"/>
        <c:noMultiLvlLbl val="0"/>
      </c:catAx>
      <c:valAx>
        <c:axId val="1127755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Effekt [W]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761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PV-diagram</a:t>
            </a:r>
            <a:r>
              <a:rPr lang="nb-NO" baseline="0"/>
              <a:t> (Test 2, Høytemp)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'PV-diagram'!$Q$4:$Q$34</c:f>
              <c:numCache>
                <c:formatCode>General</c:formatCode>
                <c:ptCount val="31"/>
                <c:pt idx="0">
                  <c:v>10</c:v>
                </c:pt>
                <c:pt idx="1">
                  <c:v>10.143952680166056</c:v>
                </c:pt>
                <c:pt idx="2">
                  <c:v>10.569519297779367</c:v>
                </c:pt>
                <c:pt idx="3">
                  <c:v>11.258100549555033</c:v>
                </c:pt>
                <c:pt idx="4">
                  <c:v>12.179602130611022</c:v>
                </c:pt>
                <c:pt idx="5">
                  <c:v>13.293749999999999</c:v>
                </c:pt>
                <c:pt idx="6">
                  <c:v>14.551850549555036</c:v>
                </c:pt>
                <c:pt idx="7">
                  <c:v>15.898918748224336</c:v>
                </c:pt>
                <c:pt idx="8">
                  <c:v>17.276081251775668</c:v>
                </c:pt>
                <c:pt idx="9">
                  <c:v>18.623149450444966</c:v>
                </c:pt>
                <c:pt idx="10">
                  <c:v>19.881250000000001</c:v>
                </c:pt>
                <c:pt idx="11">
                  <c:v>20.995397869388981</c:v>
                </c:pt>
                <c:pt idx="12">
                  <c:v>21.916899450444966</c:v>
                </c:pt>
                <c:pt idx="13">
                  <c:v>22.605480702220635</c:v>
                </c:pt>
                <c:pt idx="14">
                  <c:v>23.031047319833949</c:v>
                </c:pt>
                <c:pt idx="15">
                  <c:v>23.175000000000001</c:v>
                </c:pt>
                <c:pt idx="16">
                  <c:v>23.031047319833949</c:v>
                </c:pt>
                <c:pt idx="17">
                  <c:v>22.605480702220635</c:v>
                </c:pt>
                <c:pt idx="18">
                  <c:v>21.916899450444969</c:v>
                </c:pt>
                <c:pt idx="19">
                  <c:v>20.995397869388984</c:v>
                </c:pt>
                <c:pt idx="20">
                  <c:v>19.881250000000009</c:v>
                </c:pt>
                <c:pt idx="21">
                  <c:v>18.623149450444973</c:v>
                </c:pt>
                <c:pt idx="22">
                  <c:v>17.276081251775672</c:v>
                </c:pt>
                <c:pt idx="23">
                  <c:v>15.898918748224338</c:v>
                </c:pt>
                <c:pt idx="24">
                  <c:v>14.551850549555036</c:v>
                </c:pt>
                <c:pt idx="25">
                  <c:v>13.293749999999999</c:v>
                </c:pt>
                <c:pt idx="26">
                  <c:v>12.17960213061102</c:v>
                </c:pt>
                <c:pt idx="27">
                  <c:v>11.258100549555031</c:v>
                </c:pt>
                <c:pt idx="28">
                  <c:v>10.569519297779365</c:v>
                </c:pt>
                <c:pt idx="29">
                  <c:v>10.143952680166054</c:v>
                </c:pt>
                <c:pt idx="30">
                  <c:v>10</c:v>
                </c:pt>
              </c:numCache>
            </c:numRef>
          </c:xVal>
          <c:yVal>
            <c:numRef>
              <c:f>'PV-diagram'!$R$4:$R$34</c:f>
              <c:numCache>
                <c:formatCode>General</c:formatCode>
                <c:ptCount val="31"/>
                <c:pt idx="0">
                  <c:v>3827.8187448875678</c:v>
                </c:pt>
                <c:pt idx="1">
                  <c:v>3467.4268105653441</c:v>
                </c:pt>
                <c:pt idx="2">
                  <c:v>3156.7025881379186</c:v>
                </c:pt>
                <c:pt idx="3">
                  <c:v>2897.1351490310094</c:v>
                </c:pt>
                <c:pt idx="4">
                  <c:v>2685.9712971392446</c:v>
                </c:pt>
                <c:pt idx="5">
                  <c:v>2518.8348803955132</c:v>
                </c:pt>
                <c:pt idx="6">
                  <c:v>2391.1926691250787</c:v>
                </c:pt>
                <c:pt idx="7">
                  <c:v>2299.084316928403</c:v>
                </c:pt>
                <c:pt idx="8">
                  <c:v>2239.4411280282575</c:v>
                </c:pt>
                <c:pt idx="9">
                  <c:v>2210.2002828932686</c:v>
                </c:pt>
                <c:pt idx="10">
                  <c:v>2210.3321670285504</c:v>
                </c:pt>
                <c:pt idx="11">
                  <c:v>2239.8414487835744</c:v>
                </c:pt>
                <c:pt idx="12">
                  <c:v>2299.7670918716735</c:v>
                </c:pt>
                <c:pt idx="13">
                  <c:v>2392.1811957117975</c:v>
                </c:pt>
                <c:pt idx="14">
                  <c:v>2520.1612192244484</c:v>
                </c:pt>
                <c:pt idx="15">
                  <c:v>2687.6745417516195</c:v>
                </c:pt>
                <c:pt idx="16">
                  <c:v>2899.2570674860144</c:v>
                </c:pt>
                <c:pt idx="17">
                  <c:v>3159.2782589797457</c:v>
                </c:pt>
                <c:pt idx="18">
                  <c:v>3470.4667743098335</c:v>
                </c:pt>
                <c:pt idx="19">
                  <c:v>3831.2788883868348</c:v>
                </c:pt>
                <c:pt idx="20">
                  <c:v>4231.8137609619798</c:v>
                </c:pt>
                <c:pt idx="21">
                  <c:v>4648.7216774985782</c:v>
                </c:pt>
                <c:pt idx="22">
                  <c:v>5041.3777606263329</c:v>
                </c:pt>
                <c:pt idx="23">
                  <c:v>5354.0566112027</c:v>
                </c:pt>
                <c:pt idx="24">
                  <c:v>5528.9378860266597</c:v>
                </c:pt>
                <c:pt idx="25">
                  <c:v>5528.11275677098</c:v>
                </c:pt>
                <c:pt idx="26">
                  <c:v>5351.7697934063872</c:v>
                </c:pt>
                <c:pt idx="27">
                  <c:v>5038.0979054714717</c:v>
                </c:pt>
                <c:pt idx="28">
                  <c:v>4644.990052058688</c:v>
                </c:pt>
                <c:pt idx="29">
                  <c:v>4228.0752753104998</c:v>
                </c:pt>
                <c:pt idx="30">
                  <c:v>3827.8187448875651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D9-4776-A106-B64094545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610288"/>
        <c:axId val="173587136"/>
      </c:scatterChart>
      <c:valAx>
        <c:axId val="763610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Volum [cm</a:t>
                </a:r>
                <a:r>
                  <a:rPr lang="nb-NO" baseline="30000"/>
                  <a:t>3</a:t>
                </a:r>
                <a:r>
                  <a:rPr lang="nb-NO" baseline="0"/>
                  <a:t>]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87136"/>
        <c:crosses val="autoZero"/>
        <c:crossBetween val="midCat"/>
      </c:valAx>
      <c:valAx>
        <c:axId val="17358713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Trykk [kPa]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610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Test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'PV-diagram'!$D$4:$D$34</c:f>
              <c:numCache>
                <c:formatCode>0.000</c:formatCode>
                <c:ptCount val="31"/>
                <c:pt idx="0">
                  <c:v>10</c:v>
                </c:pt>
                <c:pt idx="1">
                  <c:v>10.143952680166056</c:v>
                </c:pt>
                <c:pt idx="2">
                  <c:v>10.569519297779367</c:v>
                </c:pt>
                <c:pt idx="3">
                  <c:v>11.258100549555033</c:v>
                </c:pt>
                <c:pt idx="4">
                  <c:v>12.179602130611022</c:v>
                </c:pt>
                <c:pt idx="5">
                  <c:v>13.293749999999999</c:v>
                </c:pt>
                <c:pt idx="6">
                  <c:v>14.551850549555036</c:v>
                </c:pt>
                <c:pt idx="7">
                  <c:v>15.898918748224336</c:v>
                </c:pt>
                <c:pt idx="8">
                  <c:v>17.276081251775668</c:v>
                </c:pt>
                <c:pt idx="9">
                  <c:v>18.623149450444966</c:v>
                </c:pt>
                <c:pt idx="10">
                  <c:v>19.881250000000001</c:v>
                </c:pt>
                <c:pt idx="11">
                  <c:v>20.995397869388981</c:v>
                </c:pt>
                <c:pt idx="12">
                  <c:v>21.916899450444966</c:v>
                </c:pt>
                <c:pt idx="13">
                  <c:v>22.605480702220635</c:v>
                </c:pt>
                <c:pt idx="14">
                  <c:v>23.031047319833949</c:v>
                </c:pt>
                <c:pt idx="15">
                  <c:v>23.175000000000001</c:v>
                </c:pt>
                <c:pt idx="16">
                  <c:v>23.031047319833949</c:v>
                </c:pt>
                <c:pt idx="17">
                  <c:v>22.605480702220635</c:v>
                </c:pt>
                <c:pt idx="18">
                  <c:v>21.916899450444969</c:v>
                </c:pt>
                <c:pt idx="19">
                  <c:v>20.995397869388984</c:v>
                </c:pt>
                <c:pt idx="20">
                  <c:v>19.881250000000009</c:v>
                </c:pt>
                <c:pt idx="21">
                  <c:v>18.623149450444973</c:v>
                </c:pt>
                <c:pt idx="22">
                  <c:v>17.276081251775672</c:v>
                </c:pt>
                <c:pt idx="23">
                  <c:v>15.898918748224338</c:v>
                </c:pt>
                <c:pt idx="24">
                  <c:v>14.551850549555036</c:v>
                </c:pt>
                <c:pt idx="25">
                  <c:v>13.293749999999999</c:v>
                </c:pt>
                <c:pt idx="26">
                  <c:v>12.17960213061102</c:v>
                </c:pt>
                <c:pt idx="27">
                  <c:v>11.258100549555031</c:v>
                </c:pt>
                <c:pt idx="28">
                  <c:v>10.569519297779365</c:v>
                </c:pt>
                <c:pt idx="29">
                  <c:v>10.143952680166054</c:v>
                </c:pt>
                <c:pt idx="30">
                  <c:v>10</c:v>
                </c:pt>
              </c:numCache>
            </c:numRef>
          </c:xVal>
          <c:yVal>
            <c:numRef>
              <c:f>'PV-diagram'!$E$4:$E$34</c:f>
              <c:numCache>
                <c:formatCode>0.000</c:formatCode>
                <c:ptCount val="31"/>
                <c:pt idx="0">
                  <c:v>4371.7761754301609</c:v>
                </c:pt>
                <c:pt idx="1">
                  <c:v>3961.4500786277708</c:v>
                </c:pt>
                <c:pt idx="2">
                  <c:v>3607.5644103533855</c:v>
                </c:pt>
                <c:pt idx="3">
                  <c:v>3311.8584082547509</c:v>
                </c:pt>
                <c:pt idx="4">
                  <c:v>3071.2439424908789</c:v>
                </c:pt>
                <c:pt idx="5">
                  <c:v>2880.7772711077273</c:v>
                </c:pt>
                <c:pt idx="6">
                  <c:v>2735.3260817543178</c:v>
                </c:pt>
                <c:pt idx="7">
                  <c:v>2630.4021578107704</c:v>
                </c:pt>
                <c:pt idx="8">
                  <c:v>2562.5267305811994</c:v>
                </c:pt>
                <c:pt idx="9">
                  <c:v>2529.3626909855429</c:v>
                </c:pt>
                <c:pt idx="10">
                  <c:v>2529.7472410824735</c:v>
                </c:pt>
                <c:pt idx="11">
                  <c:v>2563.6939353809698</c:v>
                </c:pt>
                <c:pt idx="12">
                  <c:v>2632.3927071909557</c:v>
                </c:pt>
                <c:pt idx="13">
                  <c:v>2738.2075675856418</c:v>
                </c:pt>
                <c:pt idx="14">
                  <c:v>2884.6426267955212</c:v>
                </c:pt>
                <c:pt idx="15">
                  <c:v>3076.2063229301684</c:v>
                </c:pt>
                <c:pt idx="16">
                  <c:v>3318.0383969820136</c:v>
                </c:pt>
                <c:pt idx="17">
                  <c:v>3615.0626625565628</c:v>
                </c:pt>
                <c:pt idx="18">
                  <c:v>3970.2953572515698</c:v>
                </c:pt>
                <c:pt idx="19">
                  <c:v>4381.8379484049619</c:v>
                </c:pt>
                <c:pt idx="20">
                  <c:v>4838.2297067588288</c:v>
                </c:pt>
                <c:pt idx="21">
                  <c:v>5312.6894894032121</c:v>
                </c:pt>
                <c:pt idx="22">
                  <c:v>5758.8526023669465</c:v>
                </c:pt>
                <c:pt idx="23">
                  <c:v>6113.3709630830308</c:v>
                </c:pt>
                <c:pt idx="24">
                  <c:v>6310.7728082379062</c:v>
                </c:pt>
                <c:pt idx="25">
                  <c:v>6308.3802358080702</c:v>
                </c:pt>
                <c:pt idx="26">
                  <c:v>6106.7380771700655</c:v>
                </c:pt>
                <c:pt idx="27">
                  <c:v>5749.3344279450648</c:v>
                </c:pt>
                <c:pt idx="28">
                  <c:v>5301.8531364430792</c:v>
                </c:pt>
                <c:pt idx="29">
                  <c:v>4827.3658392264388</c:v>
                </c:pt>
                <c:pt idx="30">
                  <c:v>4371.7761754301582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A4-467F-8E11-A83C00DD3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635935"/>
        <c:axId val="1128181119"/>
      </c:scatterChart>
      <c:valAx>
        <c:axId val="12036359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00" b="0" i="0" u="none" strike="noStrike" baseline="0">
                    <a:effectLst/>
                  </a:rPr>
                  <a:t>V</a:t>
                </a:r>
                <a:r>
                  <a:rPr lang="nb-NO" sz="1000" b="0" i="0" u="none" strike="noStrike" baseline="-25000">
                    <a:effectLst/>
                  </a:rPr>
                  <a:t>e</a:t>
                </a:r>
                <a:r>
                  <a:rPr lang="nb-NO" sz="1000" b="0" i="0" u="none" strike="noStrike" baseline="0">
                    <a:effectLst/>
                  </a:rPr>
                  <a:t> [cm3]</a:t>
                </a:r>
                <a:r>
                  <a:rPr lang="nb-NO" sz="1000" b="0" i="0" u="none" strike="noStrike" baseline="0"/>
                  <a:t> 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181119"/>
        <c:crosses val="autoZero"/>
        <c:crossBetween val="midCat"/>
      </c:valAx>
      <c:valAx>
        <c:axId val="1128181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00" b="0" i="0" u="none" strike="noStrike" baseline="0">
                    <a:effectLst/>
                  </a:rPr>
                  <a:t>p [kPa]</a:t>
                </a:r>
                <a:r>
                  <a:rPr lang="nb-NO" sz="1000" b="0" i="0" u="none" strike="noStrike" baseline="0"/>
                  <a:t>  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6359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523874</xdr:colOff>
      <xdr:row>0</xdr:row>
      <xdr:rowOff>158750</xdr:rowOff>
    </xdr:from>
    <xdr:to>
      <xdr:col>28</xdr:col>
      <xdr:colOff>380999</xdr:colOff>
      <xdr:row>17</xdr:row>
      <xdr:rowOff>99218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8B9DCA5-0219-4CF7-BC16-DD5351054E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565149</xdr:colOff>
      <xdr:row>26</xdr:row>
      <xdr:rowOff>164306</xdr:rowOff>
    </xdr:from>
    <xdr:to>
      <xdr:col>30</xdr:col>
      <xdr:colOff>681038</xdr:colOff>
      <xdr:row>49</xdr:row>
      <xdr:rowOff>92869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110FFCC0-9492-47F2-BAD7-8E7483078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496659</xdr:colOff>
      <xdr:row>1</xdr:row>
      <xdr:rowOff>133350</xdr:rowOff>
    </xdr:from>
    <xdr:to>
      <xdr:col>25</xdr:col>
      <xdr:colOff>742950</xdr:colOff>
      <xdr:row>21</xdr:row>
      <xdr:rowOff>152400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F2F71B2A-A4C9-4B33-8942-D3A1DA906E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523874</xdr:colOff>
      <xdr:row>3</xdr:row>
      <xdr:rowOff>0</xdr:rowOff>
    </xdr:from>
    <xdr:to>
      <xdr:col>12</xdr:col>
      <xdr:colOff>523874</xdr:colOff>
      <xdr:row>17</xdr:row>
      <xdr:rowOff>76200</xdr:rowOff>
    </xdr:to>
    <xdr:graphicFrame macro="">
      <xdr:nvGraphicFramePr>
        <xdr:cNvPr id="9" name="Diagram 1">
          <a:extLst>
            <a:ext uri="{FF2B5EF4-FFF2-40B4-BE49-F238E27FC236}">
              <a16:creationId xmlns:a16="http://schemas.microsoft.com/office/drawing/2014/main" id="{AFA0D9A5-0342-4245-B6E3-8C4FDF9058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CC7A7-31C1-4F40-9421-48E1251988A3}">
  <dimension ref="A2:AG36"/>
  <sheetViews>
    <sheetView topLeftCell="A9" zoomScale="60" zoomScaleNormal="60" workbookViewId="0">
      <selection activeCell="K40" sqref="K40"/>
    </sheetView>
  </sheetViews>
  <sheetFormatPr baseColWidth="10" defaultColWidth="9.1328125" defaultRowHeight="14.25" x14ac:dyDescent="0.45"/>
  <cols>
    <col min="1" max="1" width="18.265625" customWidth="1"/>
    <col min="9" max="9" width="37" bestFit="1" customWidth="1"/>
    <col min="10" max="11" width="20.73046875" bestFit="1" customWidth="1"/>
    <col min="12" max="14" width="20.1328125" bestFit="1" customWidth="1"/>
    <col min="15" max="17" width="20.73046875" bestFit="1" customWidth="1"/>
    <col min="18" max="18" width="20.1328125" bestFit="1" customWidth="1"/>
    <col min="19" max="19" width="20.265625" bestFit="1" customWidth="1"/>
    <col min="20" max="20" width="14.59765625" bestFit="1" customWidth="1"/>
    <col min="21" max="21" width="20.265625" bestFit="1" customWidth="1"/>
  </cols>
  <sheetData>
    <row r="2" spans="1:33" x14ac:dyDescent="0.45">
      <c r="A2" t="s">
        <v>0</v>
      </c>
    </row>
    <row r="5" spans="1:33" ht="14.25" customHeight="1" x14ac:dyDescent="0.45">
      <c r="A5" s="1" t="s">
        <v>1</v>
      </c>
      <c r="B5" s="158" t="s">
        <v>2</v>
      </c>
      <c r="C5" s="158"/>
      <c r="D5" s="158"/>
      <c r="I5" s="5" t="s">
        <v>3</v>
      </c>
      <c r="J5" s="68" t="s">
        <v>4</v>
      </c>
      <c r="K5" s="69" t="s">
        <v>5</v>
      </c>
      <c r="L5" s="69" t="s">
        <v>6</v>
      </c>
      <c r="M5" s="69" t="s">
        <v>7</v>
      </c>
      <c r="N5" s="69" t="s">
        <v>8</v>
      </c>
      <c r="O5" s="70" t="s">
        <v>9</v>
      </c>
      <c r="P5" s="70" t="s">
        <v>10</v>
      </c>
      <c r="Q5" s="70" t="s">
        <v>11</v>
      </c>
      <c r="R5" s="59" t="s">
        <v>12</v>
      </c>
      <c r="S5" s="59"/>
      <c r="U5" s="71"/>
      <c r="W5" s="71"/>
    </row>
    <row r="6" spans="1:33" x14ac:dyDescent="0.45">
      <c r="A6" s="1" t="s">
        <v>13</v>
      </c>
      <c r="B6" s="1">
        <v>600</v>
      </c>
      <c r="C6" s="1">
        <v>450</v>
      </c>
      <c r="D6" s="1">
        <v>300</v>
      </c>
      <c r="I6" s="33" t="s">
        <v>14</v>
      </c>
      <c r="J6" s="33"/>
      <c r="K6" s="33"/>
      <c r="L6" s="33"/>
      <c r="M6" s="33"/>
      <c r="N6" s="33"/>
      <c r="O6" s="33"/>
      <c r="P6" s="33"/>
      <c r="Q6" s="33"/>
      <c r="R6" s="33"/>
      <c r="S6" s="4"/>
      <c r="T6" s="4"/>
      <c r="U6" s="4"/>
      <c r="V6" s="4"/>
      <c r="W6" s="4"/>
      <c r="X6" s="4"/>
      <c r="Y6" s="4"/>
      <c r="Z6" s="4"/>
      <c r="AA6" s="4"/>
    </row>
    <row r="7" spans="1:33" x14ac:dyDescent="0.45">
      <c r="A7" s="1">
        <v>35</v>
      </c>
      <c r="B7" s="1"/>
      <c r="C7" s="1"/>
      <c r="D7" s="1"/>
      <c r="I7" s="4" t="s">
        <v>15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33" x14ac:dyDescent="0.45">
      <c r="A8" s="1">
        <v>40</v>
      </c>
      <c r="B8" s="1"/>
      <c r="C8" s="1"/>
      <c r="D8" s="1"/>
      <c r="I8" s="4" t="s">
        <v>27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33" x14ac:dyDescent="0.45">
      <c r="I9" s="4" t="s">
        <v>28</v>
      </c>
      <c r="J9" s="4"/>
      <c r="K9" s="4"/>
      <c r="L9" s="4"/>
      <c r="M9" s="4"/>
      <c r="N9" s="4"/>
      <c r="O9" s="4"/>
      <c r="P9" s="4"/>
      <c r="Q9" s="4"/>
      <c r="R9" s="4"/>
    </row>
    <row r="10" spans="1:33" x14ac:dyDescent="0.45">
      <c r="I10" s="4" t="s">
        <v>29</v>
      </c>
      <c r="J10" s="4"/>
      <c r="K10" s="4"/>
      <c r="L10" s="4"/>
      <c r="M10" s="4"/>
      <c r="N10" s="4"/>
      <c r="O10" s="4"/>
      <c r="P10" s="4"/>
      <c r="Q10" s="4"/>
      <c r="R10" s="4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x14ac:dyDescent="0.45">
      <c r="I11" s="4" t="s">
        <v>16</v>
      </c>
      <c r="J11" s="4"/>
      <c r="K11" s="4"/>
      <c r="L11" s="4"/>
      <c r="M11" s="4"/>
      <c r="N11" s="4"/>
      <c r="O11" s="4"/>
      <c r="P11" s="4"/>
      <c r="Q11" s="4"/>
      <c r="R11" s="4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x14ac:dyDescent="0.45">
      <c r="I12" s="7" t="s">
        <v>17</v>
      </c>
      <c r="J12" s="4"/>
      <c r="K12" s="4"/>
      <c r="L12" s="4"/>
      <c r="M12" s="4"/>
      <c r="N12" s="4"/>
      <c r="O12" s="4"/>
      <c r="P12" s="4"/>
      <c r="Q12" s="4"/>
      <c r="R12" s="4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x14ac:dyDescent="0.45"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33" x14ac:dyDescent="0.45">
      <c r="I14" s="10" t="s">
        <v>34</v>
      </c>
    </row>
    <row r="16" spans="1:33" ht="14.65" thickBot="1" x14ac:dyDescent="0.5"/>
    <row r="17" spans="9:15" x14ac:dyDescent="0.45">
      <c r="I17" s="30" t="s">
        <v>37</v>
      </c>
      <c r="J17" s="108" t="s">
        <v>38</v>
      </c>
      <c r="K17" s="109" t="s">
        <v>39</v>
      </c>
      <c r="L17" s="109" t="s">
        <v>40</v>
      </c>
      <c r="M17" s="109" t="s">
        <v>41</v>
      </c>
      <c r="N17" s="109" t="s">
        <v>42</v>
      </c>
      <c r="O17" s="115" t="s">
        <v>43</v>
      </c>
    </row>
    <row r="18" spans="9:15" x14ac:dyDescent="0.45">
      <c r="I18" s="31" t="s">
        <v>45</v>
      </c>
      <c r="J18" s="110"/>
      <c r="K18" s="98"/>
      <c r="L18" s="98"/>
      <c r="M18" s="98"/>
      <c r="N18" s="98"/>
      <c r="O18" s="116"/>
    </row>
    <row r="19" spans="9:15" ht="14.65" thickBot="1" x14ac:dyDescent="0.5">
      <c r="I19" s="32" t="s">
        <v>48</v>
      </c>
      <c r="J19" s="140" t="s">
        <v>49</v>
      </c>
      <c r="K19" s="155" t="s">
        <v>49</v>
      </c>
      <c r="L19" s="155" t="s">
        <v>49</v>
      </c>
      <c r="M19" s="155" t="s">
        <v>51</v>
      </c>
      <c r="N19" s="155" t="s">
        <v>53</v>
      </c>
      <c r="O19" s="156" t="s">
        <v>55</v>
      </c>
    </row>
    <row r="20" spans="9:15" x14ac:dyDescent="0.45">
      <c r="I20" s="130" t="s">
        <v>58</v>
      </c>
      <c r="J20" s="42"/>
      <c r="K20" s="154"/>
      <c r="L20" s="154"/>
      <c r="M20" s="154"/>
      <c r="N20" s="154"/>
      <c r="O20" s="43"/>
    </row>
    <row r="21" spans="9:15" x14ac:dyDescent="0.45">
      <c r="I21" s="131" t="s">
        <v>60</v>
      </c>
      <c r="J21" s="44"/>
      <c r="K21" s="111"/>
      <c r="L21" s="111"/>
      <c r="M21" s="111"/>
      <c r="N21" s="111"/>
      <c r="O21" s="45"/>
    </row>
    <row r="22" spans="9:15" x14ac:dyDescent="0.45">
      <c r="I22" s="131" t="s">
        <v>63</v>
      </c>
      <c r="J22" s="44"/>
      <c r="K22" s="111"/>
      <c r="L22" s="111"/>
      <c r="M22" s="111"/>
      <c r="N22" s="111"/>
      <c r="O22" s="45"/>
    </row>
    <row r="23" spans="9:15" x14ac:dyDescent="0.45">
      <c r="I23" s="132" t="s">
        <v>65</v>
      </c>
      <c r="J23" s="44"/>
      <c r="K23" s="111"/>
      <c r="L23" s="111"/>
      <c r="M23" s="111"/>
      <c r="N23" s="111"/>
      <c r="O23" s="45"/>
    </row>
    <row r="24" spans="9:15" x14ac:dyDescent="0.45">
      <c r="I24" s="146" t="s">
        <v>0</v>
      </c>
      <c r="J24" s="47"/>
      <c r="K24" s="112"/>
      <c r="L24" s="112"/>
      <c r="M24" s="112"/>
      <c r="N24" s="112"/>
      <c r="O24" s="50"/>
    </row>
    <row r="25" spans="9:15" x14ac:dyDescent="0.45">
      <c r="I25" s="147" t="s">
        <v>68</v>
      </c>
      <c r="J25" s="47"/>
      <c r="K25" s="112"/>
      <c r="L25" s="112"/>
      <c r="M25" s="112"/>
      <c r="N25" s="112"/>
      <c r="O25" s="50"/>
    </row>
    <row r="26" spans="9:15" x14ac:dyDescent="0.45">
      <c r="I26" s="147" t="s">
        <v>70</v>
      </c>
      <c r="J26" s="47"/>
      <c r="K26" s="112"/>
      <c r="L26" s="112"/>
      <c r="M26" s="112"/>
      <c r="N26" s="112"/>
      <c r="O26" s="50"/>
    </row>
    <row r="27" spans="9:15" x14ac:dyDescent="0.45">
      <c r="I27" s="148" t="s">
        <v>73</v>
      </c>
      <c r="J27" s="52"/>
      <c r="K27" s="54"/>
      <c r="L27" s="54"/>
      <c r="M27" s="54"/>
      <c r="N27" s="54"/>
      <c r="O27" s="53"/>
    </row>
    <row r="28" spans="9:15" x14ac:dyDescent="0.45">
      <c r="I28" s="148" t="s">
        <v>75</v>
      </c>
      <c r="J28" s="52"/>
      <c r="K28" s="54"/>
      <c r="L28" s="54"/>
      <c r="M28" s="54"/>
      <c r="N28" s="54"/>
      <c r="O28" s="53"/>
    </row>
    <row r="29" spans="9:15" x14ac:dyDescent="0.45">
      <c r="I29" s="153" t="s">
        <v>76</v>
      </c>
      <c r="J29" s="113"/>
      <c r="K29" s="114"/>
      <c r="L29" s="114"/>
      <c r="M29" s="54"/>
      <c r="N29" s="54"/>
      <c r="O29" s="53"/>
    </row>
    <row r="30" spans="9:15" x14ac:dyDescent="0.45">
      <c r="I30" s="148" t="s">
        <v>78</v>
      </c>
      <c r="J30" s="55"/>
      <c r="K30" s="57"/>
      <c r="L30" s="57"/>
      <c r="M30" s="57"/>
      <c r="N30" s="57"/>
      <c r="O30" s="56"/>
    </row>
    <row r="31" spans="9:15" x14ac:dyDescent="0.45">
      <c r="I31" s="148" t="s">
        <v>79</v>
      </c>
      <c r="J31" s="55"/>
      <c r="K31" s="57"/>
      <c r="L31" s="57"/>
      <c r="M31" s="57"/>
      <c r="N31" s="57"/>
      <c r="O31" s="56"/>
    </row>
    <row r="32" spans="9:15" x14ac:dyDescent="0.45">
      <c r="I32" s="148" t="s">
        <v>80</v>
      </c>
      <c r="J32" s="55"/>
      <c r="K32" s="57"/>
      <c r="L32" s="57"/>
      <c r="M32" s="57"/>
      <c r="N32" s="57"/>
      <c r="O32" s="56"/>
    </row>
    <row r="33" spans="9:21" ht="14.65" thickBot="1" x14ac:dyDescent="0.5">
      <c r="I33" s="149" t="s">
        <v>17</v>
      </c>
      <c r="J33" s="117"/>
      <c r="K33" s="118"/>
      <c r="L33" s="118"/>
      <c r="M33" s="118"/>
      <c r="N33" s="118"/>
      <c r="O33" s="119"/>
    </row>
    <row r="35" spans="9:21" x14ac:dyDescent="0.45">
      <c r="I35" s="39" t="s">
        <v>82</v>
      </c>
      <c r="J35" s="40"/>
      <c r="K35" s="40"/>
      <c r="L35" s="40"/>
      <c r="M35" s="40"/>
      <c r="N35" s="40"/>
      <c r="O35" s="40"/>
      <c r="P35" s="40"/>
      <c r="Q35" s="40"/>
      <c r="R35" s="40"/>
    </row>
    <row r="36" spans="9:21" x14ac:dyDescent="0.45">
      <c r="S36" s="40"/>
      <c r="T36" s="40"/>
      <c r="U36" s="40"/>
    </row>
  </sheetData>
  <mergeCells count="1"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6F8C6-910E-485A-BD57-615E526CC006}">
  <dimension ref="A1:AL103"/>
  <sheetViews>
    <sheetView tabSelected="1" topLeftCell="E1" zoomScale="52" zoomScaleNormal="70" workbookViewId="0">
      <selection activeCell="F3" sqref="F3"/>
    </sheetView>
  </sheetViews>
  <sheetFormatPr baseColWidth="10" defaultColWidth="11.3984375" defaultRowHeight="14.25" x14ac:dyDescent="0.45"/>
  <cols>
    <col min="1" max="1" width="22.59765625" bestFit="1" customWidth="1"/>
    <col min="6" max="6" width="26" customWidth="1"/>
    <col min="7" max="7" width="35.73046875" customWidth="1"/>
    <col min="8" max="16" width="20.59765625" bestFit="1" customWidth="1"/>
    <col min="17" max="17" width="20.3984375" bestFit="1" customWidth="1"/>
    <col min="18" max="18" width="16" customWidth="1"/>
    <col min="19" max="19" width="22" customWidth="1"/>
    <col min="20" max="31" width="10.73046875" customWidth="1"/>
    <col min="32" max="32" width="15" bestFit="1" customWidth="1"/>
  </cols>
  <sheetData>
    <row r="1" spans="1:38" x14ac:dyDescent="0.45">
      <c r="A1" t="s">
        <v>18</v>
      </c>
    </row>
    <row r="2" spans="1:38" x14ac:dyDescent="0.45">
      <c r="A2" t="s">
        <v>0</v>
      </c>
      <c r="B2">
        <v>1500</v>
      </c>
    </row>
    <row r="3" spans="1:38" ht="14.65" thickBot="1" x14ac:dyDescent="0.5">
      <c r="H3" s="28">
        <v>0.49305555555555558</v>
      </c>
      <c r="I3" s="28">
        <v>0.50624999999999998</v>
      </c>
      <c r="J3" s="28">
        <v>0.52500000000000002</v>
      </c>
      <c r="K3" s="29">
        <v>0.58333333333333337</v>
      </c>
      <c r="L3" s="28">
        <v>0.59513888888888888</v>
      </c>
      <c r="M3" s="28">
        <v>0.60902777777777783</v>
      </c>
      <c r="N3" s="28">
        <v>0.64374999999999993</v>
      </c>
      <c r="O3" s="28">
        <v>0.63402777777777775</v>
      </c>
      <c r="P3" s="28">
        <v>0.61597222222222225</v>
      </c>
      <c r="R3" s="41" t="s">
        <v>19</v>
      </c>
    </row>
    <row r="4" spans="1:38" ht="14.65" thickBot="1" x14ac:dyDescent="0.5">
      <c r="A4" s="13" t="s">
        <v>1</v>
      </c>
      <c r="B4" s="190" t="s">
        <v>2</v>
      </c>
      <c r="C4" s="190"/>
      <c r="D4" s="190"/>
      <c r="E4" s="190"/>
      <c r="G4" s="34" t="s">
        <v>3</v>
      </c>
      <c r="H4" s="35" t="s">
        <v>20</v>
      </c>
      <c r="I4" s="35" t="s">
        <v>21</v>
      </c>
      <c r="J4" s="35" t="s">
        <v>22</v>
      </c>
      <c r="K4" s="35" t="s">
        <v>23</v>
      </c>
      <c r="L4" s="35" t="s">
        <v>24</v>
      </c>
      <c r="M4" s="35" t="s">
        <v>25</v>
      </c>
      <c r="N4" s="37" t="s">
        <v>174</v>
      </c>
      <c r="O4" s="36" t="s">
        <v>26</v>
      </c>
      <c r="P4" s="38" t="s">
        <v>175</v>
      </c>
      <c r="R4" s="41">
        <v>750</v>
      </c>
    </row>
    <row r="5" spans="1:38" x14ac:dyDescent="0.45">
      <c r="A5" s="2" t="s">
        <v>13</v>
      </c>
      <c r="B5" s="14">
        <v>750</v>
      </c>
      <c r="C5" s="14">
        <v>550</v>
      </c>
      <c r="D5" s="15">
        <v>450</v>
      </c>
      <c r="E5" s="8">
        <v>300</v>
      </c>
      <c r="G5" s="120" t="s">
        <v>14</v>
      </c>
      <c r="H5" s="120">
        <v>751.5</v>
      </c>
      <c r="I5" s="120">
        <v>607.4</v>
      </c>
      <c r="J5" s="120">
        <v>502.6</v>
      </c>
      <c r="K5" s="120">
        <v>751.2</v>
      </c>
      <c r="L5" s="120">
        <v>604</v>
      </c>
      <c r="M5" s="120">
        <v>506.6</v>
      </c>
      <c r="N5" s="120">
        <v>749</v>
      </c>
      <c r="O5" s="120">
        <v>597</v>
      </c>
      <c r="P5" s="120">
        <v>502.8</v>
      </c>
      <c r="R5" s="41">
        <v>600</v>
      </c>
    </row>
    <row r="6" spans="1:38" x14ac:dyDescent="0.45">
      <c r="A6" s="4">
        <v>30</v>
      </c>
      <c r="B6" s="4"/>
      <c r="C6" s="4"/>
      <c r="D6" s="11"/>
      <c r="E6" s="4"/>
      <c r="G6" s="4" t="s">
        <v>15</v>
      </c>
      <c r="H6" s="4">
        <v>40.5</v>
      </c>
      <c r="I6" s="4">
        <v>40.5</v>
      </c>
      <c r="J6" s="4">
        <v>40.5</v>
      </c>
      <c r="K6" s="4">
        <v>35</v>
      </c>
      <c r="L6" s="4">
        <v>35</v>
      </c>
      <c r="M6" s="4">
        <v>35</v>
      </c>
      <c r="N6" s="4">
        <v>30</v>
      </c>
      <c r="O6" s="4">
        <v>30</v>
      </c>
      <c r="P6" s="4">
        <v>30</v>
      </c>
      <c r="R6" s="41">
        <v>500</v>
      </c>
    </row>
    <row r="7" spans="1:38" x14ac:dyDescent="0.45">
      <c r="A7" s="3">
        <v>35</v>
      </c>
      <c r="B7" s="3"/>
      <c r="C7" s="3"/>
      <c r="D7" s="12"/>
      <c r="E7" s="4"/>
      <c r="G7" s="4" t="s">
        <v>27</v>
      </c>
      <c r="H7" s="4">
        <v>1503</v>
      </c>
      <c r="I7" s="4">
        <v>1503</v>
      </c>
      <c r="J7" s="4">
        <v>1493</v>
      </c>
      <c r="K7" s="4">
        <v>1498</v>
      </c>
      <c r="L7" s="4">
        <v>1498</v>
      </c>
      <c r="M7" s="4">
        <v>1496</v>
      </c>
      <c r="N7" s="4">
        <v>1500</v>
      </c>
      <c r="O7" s="4">
        <v>1498</v>
      </c>
      <c r="P7" s="4">
        <v>1503</v>
      </c>
    </row>
    <row r="8" spans="1:38" x14ac:dyDescent="0.45">
      <c r="A8" s="1">
        <v>40</v>
      </c>
      <c r="B8" s="1"/>
      <c r="C8" s="1"/>
      <c r="D8" s="13"/>
      <c r="E8" s="4"/>
      <c r="G8" s="4" t="s">
        <v>28</v>
      </c>
      <c r="H8" s="4">
        <v>17.600000000000001</v>
      </c>
      <c r="I8" s="4">
        <v>-2.9</v>
      </c>
      <c r="J8" s="4">
        <v>-24.3</v>
      </c>
      <c r="K8" s="4">
        <v>19.8</v>
      </c>
      <c r="L8" s="4">
        <v>-0.8</v>
      </c>
      <c r="M8" s="4">
        <v>-21.5</v>
      </c>
      <c r="N8" s="4">
        <v>18.399999999999999</v>
      </c>
      <c r="O8" s="4">
        <v>-1.5</v>
      </c>
      <c r="P8" s="4">
        <v>-14.7</v>
      </c>
    </row>
    <row r="9" spans="1:38" x14ac:dyDescent="0.45">
      <c r="G9" s="4" t="s">
        <v>29</v>
      </c>
      <c r="H9" s="4">
        <v>5.5</v>
      </c>
      <c r="I9" s="4">
        <v>5</v>
      </c>
      <c r="J9" s="4">
        <v>5.5</v>
      </c>
      <c r="K9" s="4">
        <v>5.6</v>
      </c>
      <c r="L9" s="4">
        <v>5</v>
      </c>
      <c r="M9" s="4">
        <v>5.4</v>
      </c>
      <c r="N9" s="4">
        <v>5.5</v>
      </c>
      <c r="O9" s="4">
        <v>5</v>
      </c>
      <c r="P9" s="4">
        <v>5.2</v>
      </c>
      <c r="Q9" s="9"/>
      <c r="U9" s="9"/>
      <c r="V9" s="9"/>
      <c r="W9" s="9"/>
      <c r="X9" s="9"/>
      <c r="Y9" s="9"/>
      <c r="Z9" s="9"/>
      <c r="AA9" s="9"/>
      <c r="AB9" s="9"/>
    </row>
    <row r="10" spans="1:38" x14ac:dyDescent="0.45">
      <c r="G10" s="4" t="s">
        <v>16</v>
      </c>
      <c r="H10" s="4" t="s">
        <v>30</v>
      </c>
      <c r="I10" s="4" t="s">
        <v>30</v>
      </c>
      <c r="J10" s="4">
        <v>0.123</v>
      </c>
      <c r="K10" s="4">
        <v>0.123</v>
      </c>
      <c r="L10" s="4">
        <v>0.122</v>
      </c>
      <c r="M10" s="4">
        <v>0.123</v>
      </c>
      <c r="N10" s="4">
        <v>0.125</v>
      </c>
      <c r="O10" s="4">
        <v>0.121</v>
      </c>
      <c r="P10" s="4">
        <v>0.122</v>
      </c>
      <c r="Q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8" x14ac:dyDescent="0.45">
      <c r="G11" s="7" t="s">
        <v>17</v>
      </c>
      <c r="H11" s="4">
        <v>12.02</v>
      </c>
      <c r="I11" s="4">
        <v>14.12</v>
      </c>
      <c r="J11" s="4">
        <v>15.27</v>
      </c>
      <c r="K11" s="4">
        <v>12.48</v>
      </c>
      <c r="L11" s="4">
        <v>14.31</v>
      </c>
      <c r="M11" s="4">
        <v>15.18</v>
      </c>
      <c r="N11" s="4">
        <v>12.07</v>
      </c>
      <c r="O11" s="4">
        <v>13.91</v>
      </c>
      <c r="P11" s="4">
        <v>14.86</v>
      </c>
      <c r="Q11" s="9"/>
      <c r="AC11" s="9"/>
      <c r="AD11" s="9"/>
      <c r="AE11" s="9"/>
      <c r="AF11" s="9"/>
    </row>
    <row r="12" spans="1:38" x14ac:dyDescent="0.45">
      <c r="G12" s="7" t="s">
        <v>34</v>
      </c>
      <c r="H12" s="4">
        <f>H8*0.01*20.17*($B$2*2*PI()/60)</f>
        <v>557.62012964157407</v>
      </c>
      <c r="I12" s="4">
        <f>I8*0.01*20.17*($B$2*2*PI()/60)</f>
        <v>-91.880589543213901</v>
      </c>
      <c r="J12" s="4">
        <f>J8*0.01*20.17*($B$2*2*PI()/60)</f>
        <v>-769.89597444830952</v>
      </c>
      <c r="K12" s="4">
        <f>K8*0.01*20.17*($B$2*2*PI()/60)</f>
        <v>627.3226458467708</v>
      </c>
      <c r="L12" s="4">
        <f>L8*0.01*20.17*($B$2*2*PI()/60)</f>
        <v>-25.346369529162452</v>
      </c>
      <c r="M12" s="4">
        <f>M8*0.01*20.17*($B$2*2*PI()/60)</f>
        <v>-681.18368109624089</v>
      </c>
      <c r="N12" s="4">
        <f>N8*0.01*20.17*($B$2*2*PI()/60)</f>
        <v>582.96649917073648</v>
      </c>
      <c r="O12" s="4">
        <f>O8*0.01*20.17*($B$2*2*PI()/60)</f>
        <v>-47.524442867179602</v>
      </c>
      <c r="P12" s="4">
        <f>P8*0.01*20.17*($B$2*2*PI()/60)</f>
        <v>-465.73954009836007</v>
      </c>
      <c r="Q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x14ac:dyDescent="0.45">
      <c r="A13" s="16" t="s">
        <v>31</v>
      </c>
      <c r="B13" s="17"/>
      <c r="C13" s="18"/>
      <c r="Q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x14ac:dyDescent="0.45">
      <c r="A14" s="19" t="s">
        <v>32</v>
      </c>
      <c r="B14" s="9" t="s">
        <v>33</v>
      </c>
      <c r="C14" s="20">
        <v>7.5999999999999998E-2</v>
      </c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ht="14.65" thickBot="1" x14ac:dyDescent="0.5">
      <c r="A15" s="19" t="s">
        <v>35</v>
      </c>
      <c r="B15" s="9"/>
      <c r="C15" s="20"/>
      <c r="O15" s="9"/>
      <c r="P15" s="9"/>
      <c r="T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x14ac:dyDescent="0.45">
      <c r="A16" s="19" t="s">
        <v>36</v>
      </c>
      <c r="B16" s="9">
        <v>8.4</v>
      </c>
      <c r="C16" s="20"/>
      <c r="G16" s="30" t="s">
        <v>37</v>
      </c>
      <c r="H16" s="191" t="s">
        <v>38</v>
      </c>
      <c r="I16" s="192"/>
      <c r="J16" s="195" t="s">
        <v>39</v>
      </c>
      <c r="K16" s="195"/>
      <c r="L16" s="191" t="s">
        <v>40</v>
      </c>
      <c r="M16" s="192"/>
      <c r="N16" s="195" t="s">
        <v>41</v>
      </c>
      <c r="O16" s="195"/>
      <c r="P16" s="191" t="s">
        <v>42</v>
      </c>
      <c r="Q16" s="192"/>
      <c r="R16" s="191" t="s">
        <v>43</v>
      </c>
      <c r="S16" s="192"/>
      <c r="T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x14ac:dyDescent="0.45">
      <c r="A17" s="19" t="s">
        <v>44</v>
      </c>
      <c r="B17" s="9">
        <v>20.3</v>
      </c>
      <c r="C17" s="20">
        <v>11.9</v>
      </c>
      <c r="G17" s="31" t="s">
        <v>45</v>
      </c>
      <c r="H17" s="193">
        <v>30</v>
      </c>
      <c r="I17" s="194"/>
      <c r="J17" s="196">
        <v>35</v>
      </c>
      <c r="K17" s="196"/>
      <c r="L17" s="193">
        <v>40</v>
      </c>
      <c r="M17" s="194"/>
      <c r="N17" s="196">
        <v>40.5</v>
      </c>
      <c r="O17" s="196"/>
      <c r="P17" s="193">
        <v>35.5</v>
      </c>
      <c r="Q17" s="194"/>
      <c r="R17" s="193">
        <v>30.5</v>
      </c>
      <c r="S17" s="194"/>
      <c r="T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ht="14.65" thickBot="1" x14ac:dyDescent="0.5">
      <c r="A18" s="19" t="s">
        <v>46</v>
      </c>
      <c r="B18" s="9" t="s">
        <v>47</v>
      </c>
      <c r="C18" s="20"/>
      <c r="G18" s="32" t="s">
        <v>48</v>
      </c>
      <c r="H18" s="27" t="s">
        <v>177</v>
      </c>
      <c r="I18" s="25" t="s">
        <v>50</v>
      </c>
      <c r="J18" s="27" t="s">
        <v>177</v>
      </c>
      <c r="K18" s="24" t="s">
        <v>50</v>
      </c>
      <c r="L18" s="27" t="s">
        <v>177</v>
      </c>
      <c r="M18" s="25" t="s">
        <v>50</v>
      </c>
      <c r="N18" s="26" t="s">
        <v>51</v>
      </c>
      <c r="O18" s="24" t="s">
        <v>52</v>
      </c>
      <c r="P18" s="27" t="s">
        <v>53</v>
      </c>
      <c r="Q18" s="25" t="s">
        <v>54</v>
      </c>
      <c r="R18" s="27" t="s">
        <v>55</v>
      </c>
      <c r="S18" s="25" t="s">
        <v>56</v>
      </c>
      <c r="T18" s="9"/>
      <c r="U18" s="9"/>
      <c r="V18" s="9"/>
    </row>
    <row r="19" spans="1:38" x14ac:dyDescent="0.45">
      <c r="A19" s="19"/>
      <c r="B19" s="9"/>
      <c r="C19" s="20"/>
      <c r="F19" t="s">
        <v>57</v>
      </c>
      <c r="G19" s="130" t="s">
        <v>58</v>
      </c>
      <c r="H19" s="143">
        <v>744.7</v>
      </c>
      <c r="I19" s="144">
        <v>741.9</v>
      </c>
      <c r="J19" s="143">
        <v>727.5</v>
      </c>
      <c r="K19" s="144">
        <v>731.1</v>
      </c>
      <c r="L19" s="143">
        <v>728.8</v>
      </c>
      <c r="M19" s="144">
        <v>700.1</v>
      </c>
      <c r="N19" s="143">
        <v>757</v>
      </c>
      <c r="O19" s="144">
        <v>747</v>
      </c>
      <c r="P19" s="143">
        <v>761.7</v>
      </c>
      <c r="Q19" s="144">
        <v>750.2</v>
      </c>
      <c r="R19" s="143">
        <v>748.6</v>
      </c>
      <c r="S19" s="144">
        <v>737.8</v>
      </c>
    </row>
    <row r="20" spans="1:38" x14ac:dyDescent="0.45">
      <c r="A20" s="19" t="s">
        <v>59</v>
      </c>
      <c r="B20" s="9"/>
      <c r="C20" s="20"/>
      <c r="F20" t="s">
        <v>57</v>
      </c>
      <c r="G20" s="131" t="s">
        <v>60</v>
      </c>
      <c r="H20" s="44">
        <v>8.27</v>
      </c>
      <c r="I20" s="45">
        <v>7.1</v>
      </c>
      <c r="J20" s="44">
        <v>8.06</v>
      </c>
      <c r="K20" s="45">
        <v>7.17</v>
      </c>
      <c r="L20" s="44">
        <v>8.52</v>
      </c>
      <c r="M20" s="45">
        <v>7.78</v>
      </c>
      <c r="N20" s="44">
        <v>7.1</v>
      </c>
      <c r="O20" s="45">
        <v>6.7</v>
      </c>
      <c r="P20" s="44">
        <v>7.4</v>
      </c>
      <c r="Q20" s="45">
        <v>6.6</v>
      </c>
      <c r="R20" s="44">
        <v>7.8</v>
      </c>
      <c r="S20" s="45">
        <v>7.4</v>
      </c>
      <c r="U20" s="9" t="s">
        <v>61</v>
      </c>
      <c r="V20" s="9"/>
      <c r="W20" s="9"/>
      <c r="X20" s="9"/>
      <c r="Y20" s="9"/>
      <c r="Z20" s="9"/>
      <c r="AA20" s="9"/>
      <c r="AB20" s="9"/>
    </row>
    <row r="21" spans="1:38" x14ac:dyDescent="0.45">
      <c r="A21" s="19" t="s">
        <v>32</v>
      </c>
      <c r="B21" s="9" t="s">
        <v>62</v>
      </c>
      <c r="C21" s="20">
        <v>0.106</v>
      </c>
      <c r="F21" t="s">
        <v>57</v>
      </c>
      <c r="G21" s="131" t="s">
        <v>63</v>
      </c>
      <c r="H21" s="44">
        <v>18.93</v>
      </c>
      <c r="I21" s="45">
        <v>9.1</v>
      </c>
      <c r="J21" s="44">
        <v>18.14</v>
      </c>
      <c r="K21" s="45">
        <v>9.14</v>
      </c>
      <c r="L21" s="44">
        <v>19.47</v>
      </c>
      <c r="M21" s="45">
        <v>9.92</v>
      </c>
      <c r="N21" s="44">
        <v>18.399999999999999</v>
      </c>
      <c r="O21" s="45">
        <v>9.3000000000000007</v>
      </c>
      <c r="P21" s="44">
        <v>18.100000000000001</v>
      </c>
      <c r="Q21" s="45">
        <v>8.6999999999999993</v>
      </c>
      <c r="R21" s="44">
        <v>17.3</v>
      </c>
      <c r="S21" s="45">
        <v>9.3000000000000007</v>
      </c>
      <c r="U21" s="9" t="s">
        <v>64</v>
      </c>
      <c r="V21" s="9"/>
      <c r="W21" s="9"/>
      <c r="X21" s="9"/>
      <c r="Y21" s="9"/>
      <c r="Z21" s="9"/>
      <c r="AA21" s="9"/>
      <c r="AB21" s="9"/>
    </row>
    <row r="22" spans="1:38" x14ac:dyDescent="0.45">
      <c r="A22" s="19" t="s">
        <v>35</v>
      </c>
      <c r="B22" s="9"/>
      <c r="C22" s="20"/>
      <c r="G22" s="132" t="s">
        <v>65</v>
      </c>
      <c r="H22" s="44">
        <f t="shared" ref="H22:S22" si="0">H21-H20</f>
        <v>10.66</v>
      </c>
      <c r="I22" s="45">
        <f t="shared" si="0"/>
        <v>2</v>
      </c>
      <c r="J22" s="44">
        <f t="shared" si="0"/>
        <v>10.08</v>
      </c>
      <c r="K22" s="45">
        <f t="shared" si="0"/>
        <v>1.9700000000000006</v>
      </c>
      <c r="L22" s="44">
        <f t="shared" si="0"/>
        <v>10.95</v>
      </c>
      <c r="M22" s="45">
        <f t="shared" si="0"/>
        <v>2.1399999999999997</v>
      </c>
      <c r="N22" s="44">
        <f t="shared" si="0"/>
        <v>11.299999999999999</v>
      </c>
      <c r="O22" s="45">
        <f t="shared" si="0"/>
        <v>2.6000000000000005</v>
      </c>
      <c r="P22" s="44">
        <f t="shared" si="0"/>
        <v>10.700000000000001</v>
      </c>
      <c r="Q22" s="45">
        <f t="shared" si="0"/>
        <v>2.0999999999999996</v>
      </c>
      <c r="R22" s="44">
        <f t="shared" si="0"/>
        <v>9.5</v>
      </c>
      <c r="S22" s="45">
        <f t="shared" si="0"/>
        <v>1.9000000000000004</v>
      </c>
      <c r="U22" s="9"/>
      <c r="V22" s="9"/>
      <c r="W22" s="9"/>
      <c r="X22" s="9"/>
      <c r="Y22" s="9"/>
      <c r="Z22" s="9"/>
      <c r="AA22" s="9"/>
      <c r="AB22" s="9"/>
    </row>
    <row r="23" spans="1:38" x14ac:dyDescent="0.45">
      <c r="A23" s="19" t="s">
        <v>36</v>
      </c>
      <c r="B23" s="9">
        <v>8</v>
      </c>
      <c r="C23" s="20"/>
      <c r="G23" s="152" t="s">
        <v>185</v>
      </c>
      <c r="H23" s="47">
        <v>1501</v>
      </c>
      <c r="I23" s="50">
        <v>1498</v>
      </c>
      <c r="J23" s="47">
        <v>1502</v>
      </c>
      <c r="K23" s="50">
        <v>1502</v>
      </c>
      <c r="L23" s="47">
        <v>1501</v>
      </c>
      <c r="M23" s="50">
        <v>1497</v>
      </c>
      <c r="N23" s="47">
        <v>1502</v>
      </c>
      <c r="O23" s="50">
        <v>1497</v>
      </c>
      <c r="P23" s="47">
        <v>1501</v>
      </c>
      <c r="Q23" s="50">
        <v>1499</v>
      </c>
      <c r="R23" s="47">
        <v>1499</v>
      </c>
      <c r="S23" s="50">
        <v>1498</v>
      </c>
      <c r="U23" s="9" t="s">
        <v>66</v>
      </c>
      <c r="V23" s="9"/>
      <c r="W23" s="9"/>
      <c r="X23" s="9"/>
      <c r="Y23" s="9"/>
      <c r="Z23" s="9"/>
      <c r="AA23" s="9"/>
      <c r="AB23" s="9"/>
    </row>
    <row r="24" spans="1:38" x14ac:dyDescent="0.45">
      <c r="A24" s="19" t="s">
        <v>44</v>
      </c>
      <c r="B24" s="9">
        <v>19</v>
      </c>
      <c r="C24" s="20"/>
      <c r="F24" t="s">
        <v>67</v>
      </c>
      <c r="G24" s="147" t="s">
        <v>186</v>
      </c>
      <c r="H24" s="47">
        <f>(H25*0.01)*20.17*(2*PI()*H23)/60</f>
        <v>523.1173841200017</v>
      </c>
      <c r="I24" s="47">
        <f t="shared" ref="I24:S24" si="1">(I25*0.01)*20.17*(2*PI()*I23)/60</f>
        <v>522.07184637692376</v>
      </c>
      <c r="J24" s="47">
        <f t="shared" si="1"/>
        <v>596.43387018056467</v>
      </c>
      <c r="K24" s="47">
        <f t="shared" si="1"/>
        <v>596.43387018056467</v>
      </c>
      <c r="L24" s="47">
        <f t="shared" si="1"/>
        <v>649.93371966424456</v>
      </c>
      <c r="M24" s="47">
        <f t="shared" si="1"/>
        <v>581.80056617239495</v>
      </c>
      <c r="N24" s="47">
        <f t="shared" si="1"/>
        <v>850.23551706591138</v>
      </c>
      <c r="O24" s="47">
        <f t="shared" si="1"/>
        <v>910.64436444374871</v>
      </c>
      <c r="P24" s="47">
        <f t="shared" si="1"/>
        <v>859.18067331224518</v>
      </c>
      <c r="Q24" s="47">
        <f t="shared" si="1"/>
        <v>788.37981442745115</v>
      </c>
      <c r="R24" s="47">
        <f t="shared" si="1"/>
        <v>531.91891093900324</v>
      </c>
      <c r="S24" s="47">
        <f t="shared" si="1"/>
        <v>563.20477972783294</v>
      </c>
      <c r="U24" s="9"/>
      <c r="V24" s="9"/>
      <c r="W24" s="9"/>
      <c r="X24" s="9"/>
      <c r="Y24" s="9"/>
      <c r="Z24" s="9"/>
      <c r="AA24" s="9"/>
      <c r="AB24" s="9"/>
    </row>
    <row r="25" spans="1:38" x14ac:dyDescent="0.45">
      <c r="A25" s="21" t="s">
        <v>46</v>
      </c>
      <c r="B25" s="22">
        <v>731.6</v>
      </c>
      <c r="C25" s="23"/>
      <c r="F25" t="s">
        <v>69</v>
      </c>
      <c r="G25" s="147" t="s">
        <v>70</v>
      </c>
      <c r="H25" s="47">
        <v>16.5</v>
      </c>
      <c r="I25" s="50">
        <v>16.5</v>
      </c>
      <c r="J25" s="47">
        <v>18.8</v>
      </c>
      <c r="K25" s="50">
        <v>18.8</v>
      </c>
      <c r="L25" s="47">
        <v>20.5</v>
      </c>
      <c r="M25" s="50">
        <v>18.399999999999999</v>
      </c>
      <c r="N25" s="47">
        <v>26.8</v>
      </c>
      <c r="O25" s="50">
        <v>28.8</v>
      </c>
      <c r="P25" s="47">
        <v>27.1</v>
      </c>
      <c r="Q25" s="50">
        <v>24.9</v>
      </c>
      <c r="R25" s="47">
        <v>16.8</v>
      </c>
      <c r="S25" s="50">
        <v>17.8</v>
      </c>
      <c r="U25" s="9" t="s">
        <v>71</v>
      </c>
      <c r="V25" s="9"/>
      <c r="W25" s="9"/>
      <c r="X25" s="9"/>
      <c r="Y25" s="9"/>
      <c r="Z25" s="9"/>
      <c r="AA25" s="9"/>
      <c r="AB25" s="9"/>
    </row>
    <row r="26" spans="1:38" x14ac:dyDescent="0.45">
      <c r="F26" t="s">
        <v>72</v>
      </c>
      <c r="G26" s="148" t="s">
        <v>73</v>
      </c>
      <c r="H26" s="52">
        <f t="shared" ref="H26:S26" si="2">(H30/H29)*1000</f>
        <v>89.721862227095997</v>
      </c>
      <c r="I26" s="53">
        <f t="shared" si="2"/>
        <v>449.97606510292002</v>
      </c>
      <c r="J26" s="52">
        <f t="shared" si="2"/>
        <v>100.01136492783272</v>
      </c>
      <c r="K26" s="53">
        <f t="shared" si="2"/>
        <v>449.97606510292002</v>
      </c>
      <c r="L26" s="52">
        <f t="shared" si="2"/>
        <v>100.01136492783272</v>
      </c>
      <c r="M26" s="53">
        <f t="shared" si="2"/>
        <v>475.3028890959925</v>
      </c>
      <c r="N26" s="52">
        <f t="shared" si="2"/>
        <v>110.07295533085883</v>
      </c>
      <c r="O26" s="53">
        <f t="shared" si="2"/>
        <v>452.73631840796014</v>
      </c>
      <c r="P26" s="52">
        <f t="shared" si="2"/>
        <v>96.432015429122472</v>
      </c>
      <c r="Q26" s="53">
        <f t="shared" si="2"/>
        <v>452.73631840796014</v>
      </c>
      <c r="R26" s="52">
        <f t="shared" si="2"/>
        <v>96.432015429122472</v>
      </c>
      <c r="S26" s="53">
        <f t="shared" si="2"/>
        <v>425.92592592592587</v>
      </c>
      <c r="U26" s="6" t="s">
        <v>74</v>
      </c>
      <c r="V26" s="9"/>
      <c r="W26" s="9"/>
      <c r="X26" s="9"/>
      <c r="Y26" s="9"/>
      <c r="Z26" s="9"/>
      <c r="AA26" s="9"/>
      <c r="AB26" s="9"/>
    </row>
    <row r="27" spans="1:38" x14ac:dyDescent="0.45">
      <c r="F27" t="s">
        <v>57</v>
      </c>
      <c r="G27" s="148" t="s">
        <v>75</v>
      </c>
      <c r="H27" s="52">
        <f>((H31/9.81)*1000)/H28</f>
        <v>0.12232415902140169</v>
      </c>
      <c r="I27" s="52">
        <f t="shared" ref="I27:S27" si="3">((I31/9.81)*1000)/I28</f>
        <v>0.12232415902140671</v>
      </c>
      <c r="J27" s="52">
        <f t="shared" si="3"/>
        <v>0.34488617057424897</v>
      </c>
      <c r="K27" s="52">
        <f t="shared" si="3"/>
        <v>0.34488617057424897</v>
      </c>
      <c r="L27" s="52">
        <f t="shared" si="3"/>
        <v>0.12402310567448491</v>
      </c>
      <c r="M27" s="52">
        <f t="shared" si="3"/>
        <v>0.12402310567448491</v>
      </c>
      <c r="N27" s="52">
        <f t="shared" si="3"/>
        <v>0.20727149167516604</v>
      </c>
      <c r="O27" s="52">
        <f t="shared" si="3"/>
        <v>0.20727149167516604</v>
      </c>
      <c r="P27" s="52">
        <f t="shared" si="3"/>
        <v>0.1970778117567151</v>
      </c>
      <c r="Q27" s="52">
        <f t="shared" si="3"/>
        <v>0.1970778117567151</v>
      </c>
      <c r="R27" s="52">
        <f t="shared" si="3"/>
        <v>0.18858307849133768</v>
      </c>
      <c r="S27" s="52">
        <f t="shared" si="3"/>
        <v>0.18858307849133768</v>
      </c>
    </row>
    <row r="28" spans="1:38" x14ac:dyDescent="0.45">
      <c r="F28" t="s">
        <v>57</v>
      </c>
      <c r="G28" s="148" t="s">
        <v>76</v>
      </c>
      <c r="H28" s="113">
        <v>600</v>
      </c>
      <c r="I28" s="58">
        <v>600</v>
      </c>
      <c r="J28" s="113">
        <v>600</v>
      </c>
      <c r="K28" s="58">
        <v>600</v>
      </c>
      <c r="L28" s="113">
        <v>600</v>
      </c>
      <c r="M28" s="58">
        <v>600</v>
      </c>
      <c r="N28" s="52">
        <v>600</v>
      </c>
      <c r="O28" s="53">
        <v>600</v>
      </c>
      <c r="P28" s="52">
        <v>600</v>
      </c>
      <c r="Q28" s="53">
        <v>600</v>
      </c>
      <c r="R28" s="52">
        <v>600</v>
      </c>
      <c r="S28" s="53">
        <v>600</v>
      </c>
    </row>
    <row r="29" spans="1:38" x14ac:dyDescent="0.45">
      <c r="F29" t="s">
        <v>77</v>
      </c>
      <c r="G29" s="148" t="s">
        <v>78</v>
      </c>
      <c r="H29" s="55">
        <v>100.31</v>
      </c>
      <c r="I29" s="56">
        <v>20.89</v>
      </c>
      <c r="J29" s="55">
        <v>87.99</v>
      </c>
      <c r="K29" s="56">
        <v>20.89</v>
      </c>
      <c r="L29" s="55">
        <v>87.99</v>
      </c>
      <c r="M29" s="56">
        <v>21.46</v>
      </c>
      <c r="N29" s="55">
        <v>78.13</v>
      </c>
      <c r="O29" s="56">
        <v>20.100000000000001</v>
      </c>
      <c r="P29" s="55">
        <v>93.33</v>
      </c>
      <c r="Q29" s="56">
        <v>20.100000000000001</v>
      </c>
      <c r="R29" s="55">
        <v>93.33</v>
      </c>
      <c r="S29" s="56">
        <v>21.6</v>
      </c>
      <c r="AF29" s="60" t="s">
        <v>193</v>
      </c>
    </row>
    <row r="30" spans="1:38" x14ac:dyDescent="0.45">
      <c r="G30" s="148" t="s">
        <v>79</v>
      </c>
      <c r="H30" s="55">
        <v>9</v>
      </c>
      <c r="I30" s="56">
        <v>9.4</v>
      </c>
      <c r="J30" s="55">
        <v>8.8000000000000007</v>
      </c>
      <c r="K30" s="56">
        <v>9.4</v>
      </c>
      <c r="L30" s="55">
        <v>8.8000000000000007</v>
      </c>
      <c r="M30" s="56">
        <v>10.199999999999999</v>
      </c>
      <c r="N30" s="55">
        <v>8.6</v>
      </c>
      <c r="O30" s="56">
        <v>9.1</v>
      </c>
      <c r="P30" s="55">
        <v>9</v>
      </c>
      <c r="Q30" s="56">
        <v>9.1</v>
      </c>
      <c r="R30" s="55">
        <v>9</v>
      </c>
      <c r="S30" s="56">
        <v>9.1999999999999993</v>
      </c>
      <c r="AF30" s="60" t="s">
        <v>194</v>
      </c>
    </row>
    <row r="31" spans="1:38" x14ac:dyDescent="0.45">
      <c r="G31" s="148" t="s">
        <v>80</v>
      </c>
      <c r="H31" s="55">
        <f>300.2-299.48</f>
        <v>0.71999999999997044</v>
      </c>
      <c r="I31" s="58">
        <v>0.72</v>
      </c>
      <c r="J31" s="55">
        <f>297.98-295.95</f>
        <v>2.0300000000000296</v>
      </c>
      <c r="K31" s="56">
        <f>297.98-295.95</f>
        <v>2.0300000000000296</v>
      </c>
      <c r="L31" s="55">
        <f>293.25-292.52</f>
        <v>0.73000000000001819</v>
      </c>
      <c r="M31" s="56">
        <f>293.25-292.52</f>
        <v>0.73000000000001819</v>
      </c>
      <c r="N31" s="55">
        <f>286.36-285.14</f>
        <v>1.2200000000000273</v>
      </c>
      <c r="O31" s="56">
        <f>286.36-285.14</f>
        <v>1.2200000000000273</v>
      </c>
      <c r="P31" s="55">
        <f>283.17-282.01</f>
        <v>1.160000000000025</v>
      </c>
      <c r="Q31" s="56">
        <f>283.17-282.01</f>
        <v>1.160000000000025</v>
      </c>
      <c r="R31" s="55">
        <f>280.54-279.43</f>
        <v>1.1100000000000136</v>
      </c>
      <c r="S31" s="56">
        <f>280.54-279.43</f>
        <v>1.1100000000000136</v>
      </c>
      <c r="AF31" t="s">
        <v>195</v>
      </c>
    </row>
    <row r="32" spans="1:38" ht="14.65" thickBot="1" x14ac:dyDescent="0.5">
      <c r="F32" t="s">
        <v>81</v>
      </c>
      <c r="G32" s="149" t="s">
        <v>17</v>
      </c>
      <c r="H32" s="117">
        <v>15.39</v>
      </c>
      <c r="I32" s="145">
        <v>15.36</v>
      </c>
      <c r="J32" s="117">
        <v>15.35</v>
      </c>
      <c r="K32" s="119">
        <v>15.14</v>
      </c>
      <c r="L32" s="117">
        <v>14.18</v>
      </c>
      <c r="M32" s="119">
        <v>15.31</v>
      </c>
      <c r="N32" s="117">
        <v>14.21</v>
      </c>
      <c r="O32" s="119">
        <v>14.11</v>
      </c>
      <c r="P32" s="117">
        <v>14.96</v>
      </c>
      <c r="Q32" s="119">
        <v>14.86</v>
      </c>
      <c r="R32" s="117">
        <v>15.76</v>
      </c>
      <c r="S32" s="119">
        <v>15.59</v>
      </c>
      <c r="AF32" t="s">
        <v>196</v>
      </c>
    </row>
    <row r="33" spans="6:20" x14ac:dyDescent="0.45">
      <c r="G33" s="94" t="s">
        <v>197</v>
      </c>
      <c r="H33" s="95">
        <v>20.170000000000002</v>
      </c>
    </row>
    <row r="34" spans="6:20" x14ac:dyDescent="0.45">
      <c r="G34" s="39" t="s">
        <v>82</v>
      </c>
      <c r="H34" s="40">
        <f t="shared" ref="H34:S34" si="4">21/(21-H32)</f>
        <v>3.7433155080213907</v>
      </c>
      <c r="I34" s="40">
        <f t="shared" si="4"/>
        <v>3.7234042553191484</v>
      </c>
      <c r="J34" s="40">
        <f t="shared" si="4"/>
        <v>3.716814159292035</v>
      </c>
      <c r="K34" s="40">
        <f t="shared" si="4"/>
        <v>3.5836177474402735</v>
      </c>
      <c r="L34" s="40">
        <f t="shared" si="4"/>
        <v>3.0791788856304985</v>
      </c>
      <c r="M34" s="40">
        <f t="shared" si="4"/>
        <v>3.6906854130052729</v>
      </c>
      <c r="N34" s="40">
        <f t="shared" si="4"/>
        <v>3.0927835051546397</v>
      </c>
      <c r="O34" s="40">
        <f t="shared" si="4"/>
        <v>3.0478955007256889</v>
      </c>
      <c r="P34" s="40">
        <f t="shared" si="4"/>
        <v>3.4768211920529808</v>
      </c>
      <c r="Q34" s="40">
        <f t="shared" si="4"/>
        <v>3.4201954397394134</v>
      </c>
      <c r="R34" s="40">
        <f t="shared" si="4"/>
        <v>4.007633587786259</v>
      </c>
      <c r="S34" s="40">
        <f t="shared" si="4"/>
        <v>3.8817005545286505</v>
      </c>
    </row>
    <row r="35" spans="6:20" x14ac:dyDescent="0.45">
      <c r="G35" s="9"/>
      <c r="H35" s="9"/>
      <c r="I35" s="9"/>
    </row>
    <row r="36" spans="6:20" ht="14.65" thickBot="1" x14ac:dyDescent="0.5">
      <c r="G36" s="9"/>
      <c r="H36" s="9"/>
    </row>
    <row r="37" spans="6:20" x14ac:dyDescent="0.45">
      <c r="F37" s="72"/>
      <c r="G37" s="197" t="s">
        <v>83</v>
      </c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8"/>
    </row>
    <row r="38" spans="6:20" ht="14.65" thickBot="1" x14ac:dyDescent="0.5">
      <c r="F38" s="73"/>
      <c r="G38" s="74"/>
      <c r="H38" s="186" t="s">
        <v>84</v>
      </c>
      <c r="I38" s="186"/>
      <c r="J38" s="186" t="s">
        <v>85</v>
      </c>
      <c r="K38" s="186"/>
      <c r="L38" s="186" t="s">
        <v>86</v>
      </c>
      <c r="M38" s="186"/>
      <c r="N38" s="186" t="s">
        <v>87</v>
      </c>
      <c r="O38" s="186"/>
      <c r="P38" s="186" t="s">
        <v>88</v>
      </c>
      <c r="Q38" s="186"/>
      <c r="R38" s="186" t="s">
        <v>89</v>
      </c>
      <c r="S38" s="187"/>
    </row>
    <row r="39" spans="6:20" ht="15.75" x14ac:dyDescent="0.55000000000000004">
      <c r="F39" s="75" t="s">
        <v>157</v>
      </c>
      <c r="G39" s="76" t="s">
        <v>100</v>
      </c>
      <c r="H39" s="188">
        <f>H40*10^5</f>
        <v>3000000</v>
      </c>
      <c r="I39" s="188"/>
      <c r="J39" s="188">
        <f t="shared" ref="J39" si="5">J40*10^5</f>
        <v>3500000</v>
      </c>
      <c r="K39" s="188"/>
      <c r="L39" s="188">
        <f t="shared" ref="L39" si="6">L40*10^5</f>
        <v>4000000</v>
      </c>
      <c r="M39" s="188"/>
      <c r="N39" s="188">
        <f t="shared" ref="N39" si="7">N40*10^5</f>
        <v>4050000</v>
      </c>
      <c r="O39" s="188"/>
      <c r="P39" s="188">
        <f t="shared" ref="P39" si="8">P40*10^5</f>
        <v>3550000</v>
      </c>
      <c r="Q39" s="188"/>
      <c r="R39" s="188">
        <f t="shared" ref="R39" si="9">R40*10^5</f>
        <v>3050000</v>
      </c>
      <c r="S39" s="188"/>
      <c r="T39" t="s">
        <v>90</v>
      </c>
    </row>
    <row r="40" spans="6:20" x14ac:dyDescent="0.45">
      <c r="F40" s="77"/>
      <c r="G40" s="78" t="s">
        <v>101</v>
      </c>
      <c r="H40" s="185">
        <v>30</v>
      </c>
      <c r="I40" s="185"/>
      <c r="J40" s="185">
        <v>35</v>
      </c>
      <c r="K40" s="185"/>
      <c r="L40" s="185">
        <v>40</v>
      </c>
      <c r="M40" s="185"/>
      <c r="N40" s="185">
        <v>40.5</v>
      </c>
      <c r="O40" s="185"/>
      <c r="P40" s="185">
        <v>35.5</v>
      </c>
      <c r="Q40" s="185"/>
      <c r="R40" s="185">
        <v>30.5</v>
      </c>
      <c r="S40" s="189"/>
      <c r="T40" t="s">
        <v>91</v>
      </c>
    </row>
    <row r="41" spans="6:20" ht="15.75" x14ac:dyDescent="0.55000000000000004">
      <c r="F41" s="77" t="s">
        <v>139</v>
      </c>
      <c r="G41" s="78" t="s">
        <v>102</v>
      </c>
      <c r="H41" s="185">
        <f>744.7+273</f>
        <v>1017.7</v>
      </c>
      <c r="I41" s="185"/>
      <c r="J41" s="185">
        <f>727.5+273</f>
        <v>1000.5</v>
      </c>
      <c r="K41" s="185"/>
      <c r="L41" s="185">
        <f>728.8+273</f>
        <v>1001.8</v>
      </c>
      <c r="M41" s="185"/>
      <c r="N41" s="185">
        <f>757+273</f>
        <v>1030</v>
      </c>
      <c r="O41" s="185"/>
      <c r="P41" s="185">
        <f>761.7+273</f>
        <v>1034.7</v>
      </c>
      <c r="Q41" s="185"/>
      <c r="R41" s="185">
        <f>748.6+273</f>
        <v>1021.6</v>
      </c>
      <c r="S41" s="189"/>
      <c r="T41" t="s">
        <v>93</v>
      </c>
    </row>
    <row r="42" spans="6:20" ht="15.75" x14ac:dyDescent="0.55000000000000004">
      <c r="F42" s="79" t="s">
        <v>140</v>
      </c>
      <c r="G42" s="80" t="s">
        <v>102</v>
      </c>
      <c r="H42" s="181">
        <f>18.93+273</f>
        <v>291.93</v>
      </c>
      <c r="I42" s="181"/>
      <c r="J42" s="181">
        <f>18.14+273</f>
        <v>291.14</v>
      </c>
      <c r="K42" s="181"/>
      <c r="L42" s="181">
        <f>19.74+273</f>
        <v>292.74</v>
      </c>
      <c r="M42" s="181"/>
      <c r="N42" s="181">
        <f>18.4+273</f>
        <v>291.39999999999998</v>
      </c>
      <c r="O42" s="181"/>
      <c r="P42" s="181">
        <f>18.1+273</f>
        <v>291.10000000000002</v>
      </c>
      <c r="Q42" s="181"/>
      <c r="R42" s="181">
        <f>17.3+273</f>
        <v>290.3</v>
      </c>
      <c r="S42" s="182"/>
      <c r="T42" t="s">
        <v>93</v>
      </c>
    </row>
    <row r="43" spans="6:20" x14ac:dyDescent="0.45">
      <c r="F43" s="81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3"/>
    </row>
    <row r="44" spans="6:20" x14ac:dyDescent="0.45">
      <c r="F44" s="84" t="s">
        <v>94</v>
      </c>
      <c r="G44" s="85"/>
      <c r="H44" s="183">
        <f>1-(H42/H41)</f>
        <v>0.71314729291539747</v>
      </c>
      <c r="I44" s="183"/>
      <c r="J44" s="183">
        <f>1-(J42/J41)</f>
        <v>0.70900549725137441</v>
      </c>
      <c r="K44" s="183"/>
      <c r="L44" s="183">
        <f>1-(L42/L41)</f>
        <v>0.70778598522659208</v>
      </c>
      <c r="M44" s="183"/>
      <c r="N44" s="183">
        <f>1-(N42/N41)</f>
        <v>0.71708737864077676</v>
      </c>
      <c r="O44" s="183"/>
      <c r="P44" s="183">
        <f>1-(P42/P41)</f>
        <v>0.7186624142263458</v>
      </c>
      <c r="Q44" s="183"/>
      <c r="R44" s="183">
        <f>1-(R42/R41)</f>
        <v>0.71583790133124503</v>
      </c>
      <c r="S44" s="184"/>
    </row>
    <row r="45" spans="6:20" x14ac:dyDescent="0.45">
      <c r="F45" s="86" t="s">
        <v>95</v>
      </c>
      <c r="G45" s="87"/>
      <c r="H45" s="180">
        <f>H90/(H89+H90)</f>
        <v>0.11473700952094601</v>
      </c>
      <c r="I45" s="180"/>
      <c r="J45" s="180">
        <f t="shared" ref="J45" si="10">J90/(J89+J90)</f>
        <v>0.12295888438669721</v>
      </c>
      <c r="K45" s="180"/>
      <c r="L45" s="180">
        <f t="shared" ref="L45" si="11">L90/(L89+L90)</f>
        <v>0.12329528955637876</v>
      </c>
      <c r="M45" s="180"/>
      <c r="N45" s="180">
        <f t="shared" ref="N45" si="12">N90/(N89+N90)</f>
        <v>0.13940173739064229</v>
      </c>
      <c r="O45" s="180"/>
      <c r="P45" s="180">
        <f t="shared" ref="P45" si="13">P90/(P89+P90)</f>
        <v>0.16480009677275451</v>
      </c>
      <c r="Q45" s="180"/>
      <c r="R45" s="180">
        <f t="shared" ref="R45" si="14">R90/(R89+R90)</f>
        <v>0.12094898071554053</v>
      </c>
      <c r="S45" s="180"/>
    </row>
    <row r="46" spans="6:20" x14ac:dyDescent="0.45">
      <c r="F46" s="86" t="s">
        <v>96</v>
      </c>
      <c r="G46" s="87"/>
      <c r="H46" s="180">
        <f>H45/H44</f>
        <v>0.16088823537686422</v>
      </c>
      <c r="I46" s="180"/>
      <c r="J46" s="180">
        <f t="shared" ref="J46" si="15">J45/J44</f>
        <v>0.17342444432853635</v>
      </c>
      <c r="K46" s="180"/>
      <c r="L46" s="180">
        <f t="shared" ref="L46" si="16">L45/L44</f>
        <v>0.17419854607167271</v>
      </c>
      <c r="M46" s="180"/>
      <c r="N46" s="180">
        <f t="shared" ref="N46" si="17">N45/N44</f>
        <v>0.19439993164413966</v>
      </c>
      <c r="O46" s="180"/>
      <c r="P46" s="180">
        <f t="shared" ref="P46" si="18">P45/P44</f>
        <v>0.22931503514089441</v>
      </c>
      <c r="Q46" s="180"/>
      <c r="R46" s="180">
        <f t="shared" ref="R46" si="19">R45/R44</f>
        <v>0.16896140940653112</v>
      </c>
      <c r="S46" s="180"/>
    </row>
    <row r="47" spans="6:20" ht="15.75" x14ac:dyDescent="0.55000000000000004">
      <c r="F47" s="88" t="s">
        <v>142</v>
      </c>
      <c r="G47" s="89" t="s">
        <v>103</v>
      </c>
      <c r="H47" s="175">
        <f>H83</f>
        <v>132.35876011548012</v>
      </c>
      <c r="I47" s="175"/>
      <c r="J47" s="175">
        <f>J83</f>
        <v>300.00410720855672</v>
      </c>
      <c r="K47" s="175"/>
      <c r="L47" s="175">
        <f>L83</f>
        <v>341.49036000766159</v>
      </c>
      <c r="M47" s="175"/>
      <c r="N47" s="175">
        <f>N83</f>
        <v>356.44764109433123</v>
      </c>
      <c r="O47" s="175"/>
      <c r="P47" s="175">
        <f>P83</f>
        <v>185.03956436368122</v>
      </c>
      <c r="Q47" s="175"/>
      <c r="R47" s="175">
        <f>R83</f>
        <v>156.72599396476858</v>
      </c>
      <c r="S47" s="176"/>
    </row>
    <row r="48" spans="6:20" ht="15.75" x14ac:dyDescent="0.55000000000000004">
      <c r="F48" s="86" t="s">
        <v>137</v>
      </c>
      <c r="G48" s="87" t="s">
        <v>114</v>
      </c>
      <c r="H48" s="175">
        <f>H84*10^-3</f>
        <v>3.3089690028870034</v>
      </c>
      <c r="I48" s="175"/>
      <c r="J48" s="175">
        <f>J84*10^-3</f>
        <v>7.5001026802139181</v>
      </c>
      <c r="K48" s="175"/>
      <c r="L48" s="175">
        <f>L84*10^-3</f>
        <v>8.5372590001915398</v>
      </c>
      <c r="M48" s="175"/>
      <c r="N48" s="175">
        <f>N84*10^-3</f>
        <v>8.9111910273582815</v>
      </c>
      <c r="O48" s="175"/>
      <c r="P48" s="175">
        <f>P84*10^-3</f>
        <v>4.6259891090920311</v>
      </c>
      <c r="Q48" s="175"/>
      <c r="R48" s="175">
        <f>R84*10^-3</f>
        <v>3.9181498491192142</v>
      </c>
      <c r="S48" s="176"/>
    </row>
    <row r="49" spans="6:19" ht="15.75" x14ac:dyDescent="0.55000000000000004">
      <c r="F49" s="86" t="s">
        <v>138</v>
      </c>
      <c r="G49" s="87" t="s">
        <v>114</v>
      </c>
      <c r="H49" s="175">
        <f>H85*10^-3</f>
        <v>0.53237418379123191</v>
      </c>
      <c r="I49" s="175"/>
      <c r="J49" s="175">
        <f>J85*10^-3</f>
        <v>1.300701139723065</v>
      </c>
      <c r="K49" s="175"/>
      <c r="L49" s="175">
        <f>L85*10^-3</f>
        <v>1.4871781052706683</v>
      </c>
      <c r="M49" s="175"/>
      <c r="N49" s="175">
        <f>N85*10^-3</f>
        <v>1.7323349265863206</v>
      </c>
      <c r="O49" s="175"/>
      <c r="P49" s="175">
        <f>P85*10^-3</f>
        <v>1.0608088551128341</v>
      </c>
      <c r="Q49" s="175"/>
      <c r="R49" s="175">
        <f>R85*10^-3</f>
        <v>0.66201612077316974</v>
      </c>
      <c r="S49" s="176"/>
    </row>
    <row r="50" spans="6:19" ht="15.75" x14ac:dyDescent="0.55000000000000004">
      <c r="F50" s="90" t="s">
        <v>124</v>
      </c>
      <c r="G50" s="91" t="s">
        <v>105</v>
      </c>
      <c r="H50" s="171">
        <v>1.8578E-4</v>
      </c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2"/>
    </row>
    <row r="51" spans="6:19" ht="15.75" x14ac:dyDescent="0.55000000000000004">
      <c r="F51" s="90" t="s">
        <v>125</v>
      </c>
      <c r="G51" s="91" t="s">
        <v>105</v>
      </c>
      <c r="H51" s="171">
        <v>1.2245800000000001E-4</v>
      </c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2"/>
    </row>
    <row r="52" spans="6:19" ht="15.75" x14ac:dyDescent="0.55000000000000004">
      <c r="F52" s="90" t="s">
        <v>127</v>
      </c>
      <c r="G52" s="91" t="s">
        <v>105</v>
      </c>
      <c r="H52" s="171">
        <v>1.3175E-5</v>
      </c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2"/>
    </row>
    <row r="53" spans="6:19" ht="15.75" x14ac:dyDescent="0.55000000000000004">
      <c r="F53" s="90" t="s">
        <v>128</v>
      </c>
      <c r="G53" s="91" t="s">
        <v>105</v>
      </c>
      <c r="H53" s="171">
        <v>4.7709999999999997E-6</v>
      </c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2"/>
    </row>
    <row r="54" spans="6:19" ht="15.75" x14ac:dyDescent="0.55000000000000004">
      <c r="F54" s="90" t="s">
        <v>129</v>
      </c>
      <c r="G54" s="91" t="s">
        <v>105</v>
      </c>
      <c r="H54" s="171">
        <v>1.0000000000000001E-5</v>
      </c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2"/>
    </row>
    <row r="55" spans="6:19" x14ac:dyDescent="0.45">
      <c r="F55" s="101" t="s">
        <v>192</v>
      </c>
      <c r="G55" s="91" t="s">
        <v>106</v>
      </c>
      <c r="H55" s="173">
        <f>(60*PI())/180</f>
        <v>1.0471975511965976</v>
      </c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4"/>
    </row>
    <row r="56" spans="6:19" x14ac:dyDescent="0.45">
      <c r="F56" s="101" t="s">
        <v>191</v>
      </c>
      <c r="G56" s="91" t="s">
        <v>106</v>
      </c>
      <c r="H56" s="171">
        <v>0</v>
      </c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2"/>
    </row>
    <row r="57" spans="6:19" ht="15.75" x14ac:dyDescent="0.55000000000000004">
      <c r="F57" s="90" t="s">
        <v>121</v>
      </c>
      <c r="G57" s="91" t="s">
        <v>107</v>
      </c>
      <c r="H57" s="171">
        <v>2076.9</v>
      </c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2"/>
    </row>
    <row r="58" spans="6:19" ht="15.75" x14ac:dyDescent="0.55000000000000004">
      <c r="F58" s="101" t="s">
        <v>162</v>
      </c>
      <c r="G58" s="91" t="s">
        <v>107</v>
      </c>
      <c r="H58" s="171">
        <v>3115.6</v>
      </c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2"/>
    </row>
    <row r="59" spans="6:19" ht="15.75" x14ac:dyDescent="0.55000000000000004">
      <c r="F59" s="101" t="s">
        <v>163</v>
      </c>
      <c r="G59" s="91" t="s">
        <v>107</v>
      </c>
      <c r="H59" s="171">
        <v>5192.6000000000004</v>
      </c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2"/>
    </row>
    <row r="60" spans="6:19" x14ac:dyDescent="0.45">
      <c r="F60" s="90" t="s">
        <v>122</v>
      </c>
      <c r="G60" s="91"/>
      <c r="H60" s="171">
        <v>1.6666000000000001</v>
      </c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2"/>
    </row>
    <row r="61" spans="6:19" ht="15.75" x14ac:dyDescent="0.55000000000000004">
      <c r="F61" s="90" t="s">
        <v>130</v>
      </c>
      <c r="G61" s="91"/>
      <c r="H61" s="171">
        <v>0.29759999999999998</v>
      </c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2"/>
    </row>
    <row r="62" spans="6:19" x14ac:dyDescent="0.45">
      <c r="F62" s="90" t="s">
        <v>120</v>
      </c>
      <c r="G62" s="91"/>
      <c r="H62" s="171">
        <v>0.80149999999999999</v>
      </c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2"/>
    </row>
    <row r="63" spans="6:19" ht="15.75" x14ac:dyDescent="0.55000000000000004">
      <c r="F63" s="90" t="s">
        <v>131</v>
      </c>
      <c r="G63" s="91" t="s">
        <v>105</v>
      </c>
      <c r="H63" s="171">
        <v>2.7946E-5</v>
      </c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2"/>
    </row>
    <row r="64" spans="6:19" ht="15.75" x14ac:dyDescent="0.55000000000000004">
      <c r="F64" s="90" t="s">
        <v>132</v>
      </c>
      <c r="G64" s="91" t="s">
        <v>105</v>
      </c>
      <c r="H64" s="171">
        <v>0</v>
      </c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2"/>
    </row>
    <row r="65" spans="6:19" ht="15.75" x14ac:dyDescent="0.55000000000000004">
      <c r="F65" s="90" t="s">
        <v>133</v>
      </c>
      <c r="G65" s="91" t="s">
        <v>105</v>
      </c>
      <c r="H65" s="171">
        <v>9.0000000000000006E-5</v>
      </c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2"/>
    </row>
    <row r="66" spans="6:19" ht="15.75" x14ac:dyDescent="0.55000000000000004">
      <c r="F66" s="90" t="s">
        <v>134</v>
      </c>
      <c r="G66" s="91" t="s">
        <v>105</v>
      </c>
      <c r="H66" s="171">
        <v>4.0000000000000003E-5</v>
      </c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2"/>
    </row>
    <row r="67" spans="6:19" ht="15.75" x14ac:dyDescent="0.55000000000000004">
      <c r="F67" s="90" t="s">
        <v>135</v>
      </c>
      <c r="G67" s="91" t="s">
        <v>105</v>
      </c>
      <c r="H67" s="171">
        <v>1E-4</v>
      </c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2"/>
    </row>
    <row r="68" spans="6:19" ht="15.75" x14ac:dyDescent="0.55000000000000004">
      <c r="F68" s="107" t="s">
        <v>161</v>
      </c>
      <c r="G68" s="91" t="s">
        <v>169</v>
      </c>
      <c r="H68" s="177">
        <f>4.22*10^3</f>
        <v>4220</v>
      </c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9"/>
    </row>
    <row r="69" spans="6:19" ht="15.75" x14ac:dyDescent="0.55000000000000004">
      <c r="F69" s="101" t="s">
        <v>164</v>
      </c>
      <c r="G69" s="91"/>
      <c r="H69" s="177">
        <v>0.8</v>
      </c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9"/>
    </row>
    <row r="70" spans="6:19" x14ac:dyDescent="0.45">
      <c r="F70" s="90" t="s">
        <v>112</v>
      </c>
      <c r="G70" s="91" t="s">
        <v>154</v>
      </c>
      <c r="H70" s="171">
        <v>1500</v>
      </c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2"/>
    </row>
    <row r="71" spans="6:19" ht="15.75" x14ac:dyDescent="0.55000000000000004">
      <c r="F71" s="88" t="s">
        <v>136</v>
      </c>
      <c r="G71" s="89" t="s">
        <v>102</v>
      </c>
      <c r="H71" s="167">
        <f>(H41-H42)/LN(H41/H42)</f>
        <v>581.18025130940453</v>
      </c>
      <c r="I71" s="167"/>
      <c r="J71" s="167">
        <f>(J41-J42)/LN(J41/J42)</f>
        <v>574.63605748990801</v>
      </c>
      <c r="K71" s="167"/>
      <c r="L71" s="167">
        <f>(L41-L42)/LN(L41/L42)</f>
        <v>576.34558374724361</v>
      </c>
      <c r="M71" s="167"/>
      <c r="N71" s="167">
        <f>(N41-N42)/LN(N41/N42)</f>
        <v>584.97540452805811</v>
      </c>
      <c r="O71" s="167"/>
      <c r="P71" s="167">
        <f>(P41-P42)/LN(P41/P42)</f>
        <v>586.34286761463727</v>
      </c>
      <c r="Q71" s="167"/>
      <c r="R71" s="167">
        <f>(R41-R42)/LN(R41/R42)</f>
        <v>581.22233008082765</v>
      </c>
      <c r="S71" s="168"/>
    </row>
    <row r="72" spans="6:19" x14ac:dyDescent="0.45">
      <c r="F72" s="88" t="s">
        <v>123</v>
      </c>
      <c r="G72" s="89"/>
      <c r="H72" s="167">
        <f>H42/H41</f>
        <v>0.28685270708460253</v>
      </c>
      <c r="I72" s="167"/>
      <c r="J72" s="167">
        <f>J42/J41</f>
        <v>0.29099450274862565</v>
      </c>
      <c r="K72" s="167"/>
      <c r="L72" s="167">
        <f>L42/L41</f>
        <v>0.29221401477340792</v>
      </c>
      <c r="M72" s="167"/>
      <c r="N72" s="167">
        <f>N42/N41</f>
        <v>0.28291262135922329</v>
      </c>
      <c r="O72" s="167"/>
      <c r="P72" s="167">
        <f>P42/P41</f>
        <v>0.2813375857736542</v>
      </c>
      <c r="Q72" s="167"/>
      <c r="R72" s="167">
        <f>R42/R41</f>
        <v>0.28416209866875491</v>
      </c>
      <c r="S72" s="168"/>
    </row>
    <row r="73" spans="6:19" ht="18" customHeight="1" x14ac:dyDescent="0.55000000000000004">
      <c r="F73" s="88" t="s">
        <v>141</v>
      </c>
      <c r="G73" s="89" t="s">
        <v>102</v>
      </c>
      <c r="H73" s="167">
        <f>(H52+H54+H53)/((H52/H41)+(H54/H71)+(H53/H42))</f>
        <v>601.05151060150581</v>
      </c>
      <c r="I73" s="167"/>
      <c r="J73" s="167">
        <f>(H52+H54+H53)/((H52/J41)+(H54/J71)+(H53/J42))</f>
        <v>595.12705510743035</v>
      </c>
      <c r="K73" s="167"/>
      <c r="L73" s="167">
        <f>(H52+H54+H53)/((H52/L41)+(H54/L71)+(H53/L42))</f>
        <v>597.13971999873263</v>
      </c>
      <c r="M73" s="167"/>
      <c r="N73" s="167">
        <f>(H52+H54+H53)/((H52/N41)+(H54/N71)+(H53/N42))</f>
        <v>604.12443813448022</v>
      </c>
      <c r="O73" s="167"/>
      <c r="P73" s="167">
        <f>(H52+H54+H53)/((H52/P41)+(H54/P71)+(H53/P42))</f>
        <v>605.18540947462736</v>
      </c>
      <c r="Q73" s="167"/>
      <c r="R73" s="167">
        <f>(H52+H54+H53)/((H52/R41)+(H54/R71)+(H53/R42))</f>
        <v>600.5207149430903</v>
      </c>
      <c r="S73" s="168"/>
    </row>
    <row r="74" spans="6:19" x14ac:dyDescent="0.45">
      <c r="F74" s="88" t="s">
        <v>115</v>
      </c>
      <c r="G74" s="89"/>
      <c r="H74" s="167">
        <f>(H63*H42)/(H50*H73)</f>
        <v>7.3061356356719828E-2</v>
      </c>
      <c r="I74" s="167"/>
      <c r="J74" s="167">
        <f>(H63*J42)/(H50*J73)</f>
        <v>7.358899632267403E-2</v>
      </c>
      <c r="K74" s="167"/>
      <c r="L74" s="167">
        <f>(H63*L42)/(H50*L73)</f>
        <v>7.374401931352792E-2</v>
      </c>
      <c r="M74" s="167"/>
      <c r="N74" s="167">
        <f>(H63*N42)/(H50*N73)</f>
        <v>7.2557755428767134E-2</v>
      </c>
      <c r="O74" s="167"/>
      <c r="P74" s="167">
        <f>(H63*P42)/(H50*P73)</f>
        <v>7.2355983761195536E-2</v>
      </c>
      <c r="Q74" s="167"/>
      <c r="R74" s="167">
        <f>(H63*R42)/(H50*R73)</f>
        <v>7.2717633857607419E-2</v>
      </c>
      <c r="S74" s="168"/>
    </row>
    <row r="75" spans="6:19" x14ac:dyDescent="0.45">
      <c r="F75" s="88" t="s">
        <v>97</v>
      </c>
      <c r="G75" s="89"/>
      <c r="H75" s="167">
        <f>SQRT(H72^2-2*H72+1+2*(H72-1)*H62*COS(H55)*H62^2)</f>
        <v>0.37601852323260082</v>
      </c>
      <c r="I75" s="167"/>
      <c r="J75" s="167">
        <f>SQRT(J72^2-2*J72+1+2*(J72-1)*J62*COS(J55)*J62^2)</f>
        <v>0.70900549725137441</v>
      </c>
      <c r="K75" s="167"/>
      <c r="L75" s="167">
        <f>SQRT(L72^2-2*L72+1+2*(L72-1)*L62*COS(L55)*L62^2)</f>
        <v>0.70778598522659208</v>
      </c>
      <c r="M75" s="167"/>
      <c r="N75" s="167">
        <f>SQRT(N72^2-2*N72+1+2*(N72-1)*N62*COS(N55)*N62^2)</f>
        <v>0.71708737864077676</v>
      </c>
      <c r="O75" s="167"/>
      <c r="P75" s="167">
        <f>SQRT(P72^2-2*P72+1+2*(P72-1)*H62*COS(H55)*H62^2)</f>
        <v>0.38268378405970693</v>
      </c>
      <c r="Q75" s="167"/>
      <c r="R75" s="167">
        <f>SQRT(R72^2-2*R72+1+2*(R72-1)*H62*COS(H55)*H62^2)</f>
        <v>0.37927485337716471</v>
      </c>
      <c r="S75" s="168"/>
    </row>
    <row r="76" spans="6:19" x14ac:dyDescent="0.45">
      <c r="F76" s="88" t="s">
        <v>98</v>
      </c>
      <c r="G76" s="89"/>
      <c r="H76" s="167">
        <f>H72+1+H62+2*H74-2*H61</f>
        <v>1.6392754197980419</v>
      </c>
      <c r="I76" s="167"/>
      <c r="J76" s="167">
        <f>J72+1+H62+2*J74-2*H61</f>
        <v>1.644472495393974</v>
      </c>
      <c r="K76" s="167"/>
      <c r="L76" s="167">
        <f>L72+1+H62+2*L74-2*H61</f>
        <v>1.6460020534004636</v>
      </c>
      <c r="M76" s="167"/>
      <c r="N76" s="167">
        <f>N72+1+H62+2*N74-2*H61</f>
        <v>1.6343281322167573</v>
      </c>
      <c r="O76" s="167"/>
      <c r="P76" s="167">
        <f>P72+1+P62+2*P74-2*P61</f>
        <v>1.4260495532960453</v>
      </c>
      <c r="Q76" s="167"/>
      <c r="R76" s="167">
        <f>R72+1+R62+2*R74-2*R61</f>
        <v>1.4295973663839698</v>
      </c>
      <c r="S76" s="168"/>
    </row>
    <row r="77" spans="6:19" x14ac:dyDescent="0.45">
      <c r="F77" s="86" t="s">
        <v>126</v>
      </c>
      <c r="G77" s="89" t="s">
        <v>106</v>
      </c>
      <c r="H77" s="167">
        <f>ATAN((H62*SIN(H55))/(H72-1+(H62*COS(H55))))</f>
        <v>-1.147890189685121</v>
      </c>
      <c r="I77" s="167"/>
      <c r="J77" s="167">
        <f>ATAN((H62*SIN(H55))/((J72-1)+(H62*COS(H55))))</f>
        <v>-1.1528631658235762</v>
      </c>
      <c r="K77" s="167"/>
      <c r="L77" s="167">
        <f>ATAN((H62*SIN(H55))/((L72-1)+(H62*COS(H55))))</f>
        <v>-1.1543316199559837</v>
      </c>
      <c r="M77" s="167"/>
      <c r="N77" s="167">
        <f>ATAN((H62*SIN(H55))/((N72-1)+(H62*COS(H55))))</f>
        <v>-1.1431799699873857</v>
      </c>
      <c r="O77" s="167"/>
      <c r="P77" s="167">
        <f>ATAN((H62*SIN(H55))/((P72-1)+(H62*COS(H55))))</f>
        <v>-1.1413027050429148</v>
      </c>
      <c r="Q77" s="167"/>
      <c r="R77" s="167">
        <f>ATAN((H62*SIN(H55))/((R72-1)+(H62*COS(H55))))</f>
        <v>-1.1446714951653298</v>
      </c>
      <c r="S77" s="168"/>
    </row>
    <row r="78" spans="6:19" x14ac:dyDescent="0.45">
      <c r="F78" s="88" t="s">
        <v>99</v>
      </c>
      <c r="G78" s="89"/>
      <c r="H78" s="167">
        <f>H75/H76</f>
        <v>0.22938093177711782</v>
      </c>
      <c r="I78" s="167"/>
      <c r="J78" s="167">
        <f>J75/J76</f>
        <v>0.43114463710231565</v>
      </c>
      <c r="K78" s="167"/>
      <c r="L78" s="167">
        <f>L75/L76</f>
        <v>0.43000309979224038</v>
      </c>
      <c r="M78" s="167"/>
      <c r="N78" s="167">
        <f>N75/N76</f>
        <v>0.43876585399539036</v>
      </c>
      <c r="O78" s="167"/>
      <c r="P78" s="167">
        <f>P75/P76</f>
        <v>0.26835237469497841</v>
      </c>
      <c r="Q78" s="167"/>
      <c r="R78" s="167">
        <f>R75/R76</f>
        <v>0.26530186911053444</v>
      </c>
      <c r="S78" s="168"/>
    </row>
    <row r="79" spans="6:19" ht="15.75" x14ac:dyDescent="0.55000000000000004">
      <c r="F79" s="88" t="s">
        <v>116</v>
      </c>
      <c r="G79" s="89" t="s">
        <v>108</v>
      </c>
      <c r="H79" s="167">
        <f>(H39*H50*(H76-H75*COS(H56-H77)))/(2*H57*H42)</f>
        <v>6.8250926725012717E-4</v>
      </c>
      <c r="I79" s="167"/>
      <c r="J79" s="167">
        <f>(J39*H50*(J76-J75*COS(H56-J77)))/(2*H57*J42)</f>
        <v>7.294667969387908E-4</v>
      </c>
      <c r="K79" s="167"/>
      <c r="L79" s="167">
        <f>(L39*H50*(L76-L75*COS(H56-L77)))/(2*H57*L42)</f>
        <v>8.3093773291414172E-4</v>
      </c>
      <c r="M79" s="167"/>
      <c r="N79" s="167">
        <f>(N39*H50*(N76-N75*COS(H56-N77)))/(2*H57*N42)</f>
        <v>8.3106305190627295E-4</v>
      </c>
      <c r="O79" s="167"/>
      <c r="P79" s="167">
        <f>(P39*H50*(P76-P75*COS(H56-P77)))/(2*H57*P42)</f>
        <v>6.9089480951105037E-4</v>
      </c>
      <c r="Q79" s="167"/>
      <c r="R79" s="167">
        <f>(R39*H50*(R76-R75*COS(H56-R77)))/(2*H57*R42)</f>
        <v>5.9810189972786152E-4</v>
      </c>
      <c r="S79" s="168"/>
    </row>
    <row r="80" spans="6:19" x14ac:dyDescent="0.45">
      <c r="F80" s="88" t="s">
        <v>109</v>
      </c>
      <c r="G80" s="87" t="s">
        <v>100</v>
      </c>
      <c r="H80" s="167">
        <f>(H39*SQRT(1-H78^2))/(1-H78*COS(H56-H77))</f>
        <v>3223470.0895978352</v>
      </c>
      <c r="I80" s="167"/>
      <c r="J80" s="167">
        <f>(J39*SQRT(1-J78^2))/(1-J78*COS(J56-J77))</f>
        <v>3827818.7448875676</v>
      </c>
      <c r="K80" s="167"/>
      <c r="L80" s="167">
        <f>(L39*SQRT(1-L78^2))/(1-L78*COS(L56-L77))</f>
        <v>4371776.1754301609</v>
      </c>
      <c r="M80" s="167"/>
      <c r="N80" s="167">
        <f>(N39*SQRT(1-N78^2))/(1-N78*COS(N56-N77))</f>
        <v>4448834.6190030687</v>
      </c>
      <c r="O80" s="167"/>
      <c r="P80" s="167">
        <f>(P39*SQRT(1-P78^2))/(1-P78*COS(P56-P77))</f>
        <v>3850006.9281546334</v>
      </c>
      <c r="Q80" s="167"/>
      <c r="R80" s="167">
        <f>(R39*SQRT(1-R78^2))/(1-R78*COS(R56-R77))</f>
        <v>3302905.2800974632</v>
      </c>
      <c r="S80" s="168"/>
    </row>
    <row r="81" spans="5:19" ht="15.75" x14ac:dyDescent="0.55000000000000004">
      <c r="F81" s="88" t="s">
        <v>110</v>
      </c>
      <c r="G81" s="87" t="s">
        <v>100</v>
      </c>
      <c r="H81" s="167">
        <f>(H39*SQRT((1-H78^2))/(1-H78))</f>
        <v>3789174.5839011809</v>
      </c>
      <c r="I81" s="167"/>
      <c r="J81" s="167">
        <f>(J39*SQRT(1-J78^2))/(1-J78)</f>
        <v>5551481.2803913513</v>
      </c>
      <c r="K81" s="167"/>
      <c r="L81" s="167">
        <f>(L39*SQRT(1-L78^2))/(1-L78)</f>
        <v>6335665.4096555617</v>
      </c>
      <c r="M81" s="167"/>
      <c r="N81" s="167">
        <f>(N39*SQRT(1-N78^2))/(1-N78)</f>
        <v>6484523.0942801703</v>
      </c>
      <c r="O81" s="167"/>
      <c r="P81" s="167">
        <f>(P39*SQRT(1-P78^2))/(1-P78)</f>
        <v>4674092.8202376273</v>
      </c>
      <c r="Q81" s="167"/>
      <c r="R81" s="167">
        <f>(R39*SQRT(1-R78^2))/(1-R78)</f>
        <v>4002602.3558116183</v>
      </c>
      <c r="S81" s="168"/>
    </row>
    <row r="82" spans="5:19" ht="15.75" x14ac:dyDescent="0.55000000000000004">
      <c r="F82" s="88" t="s">
        <v>111</v>
      </c>
      <c r="G82" s="87" t="s">
        <v>100</v>
      </c>
      <c r="H82" s="167">
        <f>(H39*SQRT((1-H78^2))/(1+H78))</f>
        <v>2375187.4717617161</v>
      </c>
      <c r="I82" s="167"/>
      <c r="J82" s="167">
        <f>(J39*SQRT(1-J78^2))/(1+J78)</f>
        <v>2206618.2666000878</v>
      </c>
      <c r="K82" s="167"/>
      <c r="L82" s="167">
        <f>(L39*SQRT(1-L78^2))/(1+L78)</f>
        <v>2525385.8853745623</v>
      </c>
      <c r="M82" s="167"/>
      <c r="N82" s="167">
        <f>(N39*SQRT(1-N78^2))/(1+N78)</f>
        <v>2529484.398701305</v>
      </c>
      <c r="O82" s="167"/>
      <c r="P82" s="167">
        <f>(P39*SQRT(1-P78^2))/(1+P78)</f>
        <v>2696245.1292012003</v>
      </c>
      <c r="Q82" s="167"/>
      <c r="R82" s="167">
        <f>(R39*SQRT(1-R78^2))/(1+R78)</f>
        <v>2324112.9577843631</v>
      </c>
      <c r="S82" s="168"/>
    </row>
    <row r="83" spans="5:19" ht="15.75" x14ac:dyDescent="0.55000000000000004">
      <c r="F83" s="88" t="s">
        <v>117</v>
      </c>
      <c r="G83" s="89" t="s">
        <v>103</v>
      </c>
      <c r="H83" s="167">
        <f>(H39*H50*PI()*H78*(H72-1)*SIN(H77))/(1+SQRT(1-H78^2))</f>
        <v>132.35876011548012</v>
      </c>
      <c r="I83" s="167"/>
      <c r="J83" s="167">
        <f>(J39*H50*PI()*J78*(J72-1)*SIN(J77))/(1+SQRT(1-J78^2))</f>
        <v>300.00410720855672</v>
      </c>
      <c r="K83" s="167"/>
      <c r="L83" s="167">
        <f>(L39*H50*PI()*L78*(L72-1)*SIN(L77))/(1+SQRT(1-L78^2))</f>
        <v>341.49036000766159</v>
      </c>
      <c r="M83" s="167"/>
      <c r="N83" s="167">
        <f>(N39*H50*PI()*N78*(N72-1)*SIN(N77))/(1+SQRT(1-N78^2))</f>
        <v>356.44764109433123</v>
      </c>
      <c r="O83" s="167"/>
      <c r="P83" s="167">
        <f>(P39*H50*PI()*P78*(P72-1)*SIN(P77))/(1+SQRT(1-P78^2))</f>
        <v>185.03956436368122</v>
      </c>
      <c r="Q83" s="167"/>
      <c r="R83" s="167">
        <f>(R39*H50*PI()*R78*(R72-1)*SIN(R77))/(1+SQRT(1-R78^2))</f>
        <v>156.72599396476858</v>
      </c>
      <c r="S83" s="168"/>
    </row>
    <row r="84" spans="5:19" ht="15.75" x14ac:dyDescent="0.55000000000000004">
      <c r="F84" s="88" t="s">
        <v>118</v>
      </c>
      <c r="G84" s="87" t="s">
        <v>104</v>
      </c>
      <c r="H84" s="167">
        <f>H83*(H70/60)</f>
        <v>3308.9690028870032</v>
      </c>
      <c r="I84" s="167"/>
      <c r="J84" s="167">
        <f>J83*($H$70/60)</f>
        <v>7500.1026802139177</v>
      </c>
      <c r="K84" s="167"/>
      <c r="L84" s="167">
        <f>L83*($H$70/60)</f>
        <v>8537.2590001915396</v>
      </c>
      <c r="M84" s="167"/>
      <c r="N84" s="167">
        <f>N83*($H$70/60)</f>
        <v>8911.1910273582816</v>
      </c>
      <c r="O84" s="167"/>
      <c r="P84" s="167">
        <f>P83*($H$70/60)</f>
        <v>4625.989109092031</v>
      </c>
      <c r="Q84" s="167"/>
      <c r="R84" s="167">
        <f>R83*($H$70/60)</f>
        <v>3918.1498491192142</v>
      </c>
      <c r="S84" s="168"/>
    </row>
    <row r="85" spans="5:19" ht="15.75" x14ac:dyDescent="0.55000000000000004">
      <c r="F85" s="88" t="s">
        <v>119</v>
      </c>
      <c r="G85" s="87" t="s">
        <v>104</v>
      </c>
      <c r="H85" s="167">
        <f>H84*H46</f>
        <v>532.37418379123187</v>
      </c>
      <c r="I85" s="167"/>
      <c r="J85" s="167">
        <f>J84*J46</f>
        <v>1300.7011397230649</v>
      </c>
      <c r="K85" s="167"/>
      <c r="L85" s="167">
        <f>L84*L46</f>
        <v>1487.1781052706683</v>
      </c>
      <c r="M85" s="167"/>
      <c r="N85" s="167">
        <f>N84*N46</f>
        <v>1732.3349265863205</v>
      </c>
      <c r="O85" s="167"/>
      <c r="P85" s="167">
        <f>P84*P46</f>
        <v>1060.808855112834</v>
      </c>
      <c r="Q85" s="167"/>
      <c r="R85" s="167">
        <f>R84*R46</f>
        <v>662.01612077316975</v>
      </c>
      <c r="S85" s="168"/>
    </row>
    <row r="86" spans="5:19" ht="16.149999999999999" thickBot="1" x14ac:dyDescent="0.6">
      <c r="E86" s="9"/>
      <c r="F86" s="92" t="s">
        <v>155</v>
      </c>
      <c r="G86" s="93" t="s">
        <v>156</v>
      </c>
      <c r="H86" s="169">
        <f>H83/(1-H72)</f>
        <v>185.59806849211751</v>
      </c>
      <c r="I86" s="170"/>
      <c r="J86" s="169">
        <f t="shared" ref="J86" si="20">J83/(1-J72)</f>
        <v>423.13368284391697</v>
      </c>
      <c r="K86" s="170"/>
      <c r="L86" s="169">
        <f t="shared" ref="L86" si="21">L83/(1-L72)</f>
        <v>482.476860428843</v>
      </c>
      <c r="M86" s="170"/>
      <c r="N86" s="169">
        <f t="shared" ref="N86" si="22">N83/(1-N72)</f>
        <v>497.07699746433946</v>
      </c>
      <c r="O86" s="170"/>
      <c r="P86" s="169">
        <f t="shared" ref="P86" si="23">P83/(1-P72)</f>
        <v>257.47772626022186</v>
      </c>
      <c r="Q86" s="170"/>
      <c r="R86" s="169">
        <f t="shared" ref="R86" si="24">R83/(1-R72)</f>
        <v>218.94062003884534</v>
      </c>
      <c r="S86" s="170"/>
    </row>
    <row r="87" spans="5:19" ht="15.75" x14ac:dyDescent="0.55000000000000004">
      <c r="E87" s="9"/>
      <c r="F87" s="102" t="s">
        <v>166</v>
      </c>
      <c r="G87" s="104" t="s">
        <v>159</v>
      </c>
      <c r="H87" s="161">
        <f>H26</f>
        <v>89.721862227095997</v>
      </c>
      <c r="I87" s="162"/>
      <c r="J87" s="161">
        <f t="shared" ref="J87" si="25">J26</f>
        <v>100.01136492783272</v>
      </c>
      <c r="K87" s="162"/>
      <c r="L87" s="161">
        <f t="shared" ref="L87" si="26">L26</f>
        <v>100.01136492783272</v>
      </c>
      <c r="M87" s="162"/>
      <c r="N87" s="161">
        <f t="shared" ref="N87" si="27">N26</f>
        <v>110.07295533085883</v>
      </c>
      <c r="O87" s="162"/>
      <c r="P87" s="161">
        <f t="shared" ref="P87" si="28">P26</f>
        <v>96.432015429122472</v>
      </c>
      <c r="Q87" s="162"/>
      <c r="R87" s="161">
        <f t="shared" ref="R87" si="29">R26</f>
        <v>96.432015429122472</v>
      </c>
      <c r="S87" s="162"/>
    </row>
    <row r="88" spans="5:19" x14ac:dyDescent="0.45">
      <c r="E88" s="9"/>
      <c r="F88" s="106" t="s">
        <v>167</v>
      </c>
      <c r="G88" s="89" t="s">
        <v>102</v>
      </c>
      <c r="H88" s="159">
        <f>H22</f>
        <v>10.66</v>
      </c>
      <c r="I88" s="163"/>
      <c r="J88" s="159">
        <f t="shared" ref="J88" si="30">J22</f>
        <v>10.08</v>
      </c>
      <c r="K88" s="163"/>
      <c r="L88" s="159">
        <f t="shared" ref="L88" si="31">L22</f>
        <v>10.95</v>
      </c>
      <c r="M88" s="163"/>
      <c r="N88" s="159">
        <f t="shared" ref="N88" si="32">N22</f>
        <v>11.299999999999999</v>
      </c>
      <c r="O88" s="163"/>
      <c r="P88" s="159">
        <f t="shared" ref="P88" si="33">P22</f>
        <v>10.700000000000001</v>
      </c>
      <c r="Q88" s="163"/>
      <c r="R88" s="159">
        <f t="shared" ref="R88" si="34">R22</f>
        <v>9.5</v>
      </c>
      <c r="S88" s="163"/>
    </row>
    <row r="89" spans="5:19" ht="15.75" x14ac:dyDescent="0.55000000000000004">
      <c r="E89" s="9"/>
      <c r="F89" s="105" t="s">
        <v>168</v>
      </c>
      <c r="G89" s="89" t="s">
        <v>104</v>
      </c>
      <c r="H89" s="159">
        <f>(H87/1000)*$H$68*H88</f>
        <v>4036.1559166583588</v>
      </c>
      <c r="I89" s="160"/>
      <c r="J89" s="159">
        <f>(J87/1000)*$H$68*J88</f>
        <v>4254.2434367541773</v>
      </c>
      <c r="K89" s="160"/>
      <c r="L89" s="159">
        <f>(L87/1000)*$H$68*L88</f>
        <v>4621.425161950222</v>
      </c>
      <c r="M89" s="160"/>
      <c r="N89" s="159">
        <f>(N87/1000)*$H$68*N88</f>
        <v>5248.9389479073334</v>
      </c>
      <c r="O89" s="160"/>
      <c r="P89" s="159">
        <f>(P87/1000)*$H$68*P88</f>
        <v>4354.2912246865963</v>
      </c>
      <c r="Q89" s="160"/>
      <c r="R89" s="159">
        <f>(R87/1000)*$H$68*R88</f>
        <v>3865.9594985535196</v>
      </c>
      <c r="S89" s="160"/>
    </row>
    <row r="90" spans="5:19" ht="16.149999999999999" thickBot="1" x14ac:dyDescent="0.6">
      <c r="E90" s="9"/>
      <c r="F90" s="92" t="s">
        <v>165</v>
      </c>
      <c r="G90" s="103" t="s">
        <v>104</v>
      </c>
      <c r="H90" s="164">
        <f>H24</f>
        <v>523.1173841200017</v>
      </c>
      <c r="I90" s="165"/>
      <c r="J90" s="164">
        <f t="shared" ref="J90" si="35">J24</f>
        <v>596.43387018056467</v>
      </c>
      <c r="K90" s="165"/>
      <c r="L90" s="164">
        <f t="shared" ref="L90" si="36">L24</f>
        <v>649.93371966424456</v>
      </c>
      <c r="M90" s="165"/>
      <c r="N90" s="164">
        <f t="shared" ref="N90" si="37">N24</f>
        <v>850.23551706591138</v>
      </c>
      <c r="O90" s="165"/>
      <c r="P90" s="164">
        <f t="shared" ref="P90" si="38">P24</f>
        <v>859.18067331224518</v>
      </c>
      <c r="Q90" s="165"/>
      <c r="R90" s="164">
        <f t="shared" ref="R90" si="39">R24</f>
        <v>531.91891093900324</v>
      </c>
      <c r="S90" s="165"/>
    </row>
    <row r="91" spans="5:19" x14ac:dyDescent="0.45">
      <c r="E91" s="9"/>
      <c r="G91" s="9"/>
      <c r="H91" s="166"/>
      <c r="I91" s="166"/>
      <c r="J91" s="166"/>
      <c r="K91" s="166"/>
      <c r="L91" s="166"/>
      <c r="M91" s="166"/>
    </row>
    <row r="92" spans="5:19" x14ac:dyDescent="0.45">
      <c r="E92" s="9"/>
      <c r="F92" s="100"/>
      <c r="G92" s="9"/>
      <c r="H92" s="99"/>
      <c r="I92" s="99"/>
      <c r="J92" s="99"/>
      <c r="K92" s="99"/>
      <c r="L92" s="99"/>
      <c r="M92" s="99"/>
    </row>
    <row r="93" spans="5:19" x14ac:dyDescent="0.45">
      <c r="F93" s="6"/>
      <c r="G93" s="9"/>
    </row>
    <row r="94" spans="5:19" x14ac:dyDescent="0.45">
      <c r="F94" s="6"/>
      <c r="G94" s="9"/>
    </row>
    <row r="96" spans="5:19" ht="15.75" x14ac:dyDescent="0.5">
      <c r="L96" s="200" t="s">
        <v>181</v>
      </c>
      <c r="M96" s="200"/>
    </row>
    <row r="97" spans="8:19" ht="15.75" x14ac:dyDescent="0.5">
      <c r="H97" s="96"/>
      <c r="I97" s="96"/>
      <c r="J97" s="96"/>
      <c r="K97" s="96"/>
      <c r="L97" s="150" t="s">
        <v>158</v>
      </c>
      <c r="M97" t="s">
        <v>159</v>
      </c>
      <c r="N97" s="199">
        <f>N27</f>
        <v>0.20727149167516604</v>
      </c>
      <c r="O97" s="199"/>
      <c r="P97" s="199">
        <f>P27</f>
        <v>0.1970778117567151</v>
      </c>
      <c r="Q97" s="199"/>
      <c r="R97" s="199">
        <f>R27</f>
        <v>0.18858307849133768</v>
      </c>
      <c r="S97" s="199"/>
    </row>
    <row r="98" spans="8:19" ht="18" x14ac:dyDescent="0.65">
      <c r="H98" s="97"/>
      <c r="I98" s="97"/>
      <c r="J98" s="97"/>
      <c r="K98" s="97"/>
      <c r="L98" s="150" t="s">
        <v>182</v>
      </c>
      <c r="M98" t="s">
        <v>160</v>
      </c>
      <c r="N98" s="199">
        <f t="shared" ref="N98" si="40">94000/2.02</f>
        <v>46534.653465346535</v>
      </c>
      <c r="O98" s="199"/>
      <c r="P98" s="199">
        <f t="shared" ref="P98" si="41">94000/2.02</f>
        <v>46534.653465346535</v>
      </c>
      <c r="Q98" s="199"/>
      <c r="R98" s="199">
        <f t="shared" ref="R98" si="42">94000/2.02</f>
        <v>46534.653465346535</v>
      </c>
      <c r="S98" s="199"/>
    </row>
    <row r="99" spans="8:19" ht="18" x14ac:dyDescent="0.65">
      <c r="H99" s="97"/>
      <c r="I99" s="97"/>
      <c r="J99" s="97"/>
      <c r="K99" s="97"/>
      <c r="L99" s="150" t="s">
        <v>190</v>
      </c>
      <c r="M99" t="s">
        <v>104</v>
      </c>
      <c r="N99" s="199">
        <f>N24</f>
        <v>850.23551706591138</v>
      </c>
      <c r="O99" s="199"/>
      <c r="P99" s="199">
        <f t="shared" ref="P99" si="43">P24</f>
        <v>859.18067331224518</v>
      </c>
      <c r="Q99" s="199"/>
      <c r="R99" s="199">
        <f t="shared" ref="R99" si="44">R24</f>
        <v>531.91891093900324</v>
      </c>
      <c r="S99" s="199"/>
    </row>
    <row r="100" spans="8:19" ht="15.75" x14ac:dyDescent="0.5">
      <c r="H100" s="97"/>
      <c r="I100" s="97"/>
      <c r="J100" s="97"/>
      <c r="K100" s="97"/>
      <c r="L100" s="151" t="s">
        <v>189</v>
      </c>
      <c r="N100" s="199">
        <v>0.8</v>
      </c>
      <c r="O100" s="199"/>
      <c r="P100" s="199"/>
      <c r="Q100" s="199"/>
      <c r="R100" s="199"/>
      <c r="S100" s="199"/>
    </row>
    <row r="101" spans="8:19" ht="18" x14ac:dyDescent="0.65">
      <c r="H101" s="97"/>
      <c r="I101" s="97"/>
      <c r="J101" s="97"/>
      <c r="K101" s="97"/>
      <c r="L101" s="150" t="s">
        <v>183</v>
      </c>
      <c r="M101" t="s">
        <v>104</v>
      </c>
      <c r="N101" s="199">
        <f>N98*N97</f>
        <v>9645.3070383493105</v>
      </c>
      <c r="O101" s="199"/>
      <c r="P101" s="199">
        <f>P98*P97</f>
        <v>9170.9476758075343</v>
      </c>
      <c r="Q101" s="199"/>
      <c r="R101" s="199">
        <f>R98*R97</f>
        <v>8775.6482070226448</v>
      </c>
      <c r="S101" s="199"/>
    </row>
    <row r="102" spans="8:19" ht="18" x14ac:dyDescent="0.65">
      <c r="H102" s="142"/>
      <c r="I102" s="142"/>
      <c r="L102" s="151" t="s">
        <v>184</v>
      </c>
      <c r="N102" s="199">
        <f>(N99*$N$100)/N101</f>
        <v>7.0520141136858616E-2</v>
      </c>
      <c r="O102" s="199"/>
      <c r="P102" s="199">
        <f t="shared" ref="P102" si="45">(P99*$N$100)/P101</f>
        <v>7.4948038408612236E-2</v>
      </c>
      <c r="Q102" s="199"/>
      <c r="R102" s="199">
        <f t="shared" ref="R102" si="46">(R99*$N$100)/R101</f>
        <v>4.8490449789301192E-2</v>
      </c>
      <c r="S102" s="199"/>
    </row>
    <row r="103" spans="8:19" ht="18" x14ac:dyDescent="0.65">
      <c r="L103" s="151" t="s">
        <v>184</v>
      </c>
      <c r="M103" t="s">
        <v>180</v>
      </c>
      <c r="N103" s="199">
        <f>N102*100</f>
        <v>7.0520141136858614</v>
      </c>
      <c r="O103" s="199"/>
      <c r="P103" s="199">
        <f t="shared" ref="P103" si="47">P102*100</f>
        <v>7.4948038408612234</v>
      </c>
      <c r="Q103" s="199"/>
      <c r="R103" s="199">
        <f t="shared" ref="R103" si="48">R102*100</f>
        <v>4.8490449789301193</v>
      </c>
      <c r="S103" s="199"/>
    </row>
  </sheetData>
  <mergeCells count="244">
    <mergeCell ref="N103:O103"/>
    <mergeCell ref="P103:Q103"/>
    <mergeCell ref="R103:S103"/>
    <mergeCell ref="L96:M96"/>
    <mergeCell ref="N100:S100"/>
    <mergeCell ref="R97:S97"/>
    <mergeCell ref="R98:S98"/>
    <mergeCell ref="R99:S99"/>
    <mergeCell ref="R101:S101"/>
    <mergeCell ref="R102:S102"/>
    <mergeCell ref="N97:O97"/>
    <mergeCell ref="N98:O98"/>
    <mergeCell ref="N99:O99"/>
    <mergeCell ref="N101:O101"/>
    <mergeCell ref="N102:O102"/>
    <mergeCell ref="P102:Q102"/>
    <mergeCell ref="P101:Q101"/>
    <mergeCell ref="P99:Q99"/>
    <mergeCell ref="P98:Q98"/>
    <mergeCell ref="P97:Q97"/>
    <mergeCell ref="B4:E4"/>
    <mergeCell ref="H16:I16"/>
    <mergeCell ref="H17:I17"/>
    <mergeCell ref="J16:K16"/>
    <mergeCell ref="L16:M16"/>
    <mergeCell ref="J17:K17"/>
    <mergeCell ref="L17:M17"/>
    <mergeCell ref="G37:S37"/>
    <mergeCell ref="R16:S16"/>
    <mergeCell ref="N16:O16"/>
    <mergeCell ref="N17:O17"/>
    <mergeCell ref="R17:S17"/>
    <mergeCell ref="P16:Q16"/>
    <mergeCell ref="P17:Q17"/>
    <mergeCell ref="N40:O40"/>
    <mergeCell ref="J40:K40"/>
    <mergeCell ref="L40:M40"/>
    <mergeCell ref="N41:O41"/>
    <mergeCell ref="H41:I41"/>
    <mergeCell ref="P40:Q40"/>
    <mergeCell ref="R38:S38"/>
    <mergeCell ref="H39:I39"/>
    <mergeCell ref="J39:K39"/>
    <mergeCell ref="L39:M39"/>
    <mergeCell ref="N39:O39"/>
    <mergeCell ref="P39:Q39"/>
    <mergeCell ref="R39:S39"/>
    <mergeCell ref="H38:I38"/>
    <mergeCell ref="J38:K38"/>
    <mergeCell ref="L38:M38"/>
    <mergeCell ref="N38:O38"/>
    <mergeCell ref="P38:Q38"/>
    <mergeCell ref="R40:S40"/>
    <mergeCell ref="H40:I40"/>
    <mergeCell ref="P41:Q41"/>
    <mergeCell ref="R41:S41"/>
    <mergeCell ref="J41:K41"/>
    <mergeCell ref="L41:M41"/>
    <mergeCell ref="L42:M42"/>
    <mergeCell ref="N42:O42"/>
    <mergeCell ref="P42:Q42"/>
    <mergeCell ref="R42:S42"/>
    <mergeCell ref="R45:S45"/>
    <mergeCell ref="H44:I44"/>
    <mergeCell ref="J44:K44"/>
    <mergeCell ref="L44:M44"/>
    <mergeCell ref="N44:O44"/>
    <mergeCell ref="P44:Q44"/>
    <mergeCell ref="R44:S44"/>
    <mergeCell ref="H45:I45"/>
    <mergeCell ref="J45:K45"/>
    <mergeCell ref="L45:M45"/>
    <mergeCell ref="N45:O45"/>
    <mergeCell ref="P45:Q45"/>
    <mergeCell ref="H42:I42"/>
    <mergeCell ref="J42:K42"/>
    <mergeCell ref="R46:S46"/>
    <mergeCell ref="H52:S52"/>
    <mergeCell ref="H53:S53"/>
    <mergeCell ref="H54:S54"/>
    <mergeCell ref="H46:I46"/>
    <mergeCell ref="J46:K46"/>
    <mergeCell ref="L46:M46"/>
    <mergeCell ref="N46:O46"/>
    <mergeCell ref="P46:Q46"/>
    <mergeCell ref="H47:I47"/>
    <mergeCell ref="J47:K47"/>
    <mergeCell ref="L47:M47"/>
    <mergeCell ref="N47:O47"/>
    <mergeCell ref="P47:Q47"/>
    <mergeCell ref="R47:S47"/>
    <mergeCell ref="H48:I48"/>
    <mergeCell ref="J48:K48"/>
    <mergeCell ref="L48:M48"/>
    <mergeCell ref="N48:O48"/>
    <mergeCell ref="P48:Q48"/>
    <mergeCell ref="R48:S48"/>
    <mergeCell ref="H72:I72"/>
    <mergeCell ref="J72:K72"/>
    <mergeCell ref="L72:M72"/>
    <mergeCell ref="N72:O72"/>
    <mergeCell ref="P72:Q72"/>
    <mergeCell ref="R72:S72"/>
    <mergeCell ref="H61:S61"/>
    <mergeCell ref="H60:S60"/>
    <mergeCell ref="H62:S62"/>
    <mergeCell ref="H63:S63"/>
    <mergeCell ref="H64:S64"/>
    <mergeCell ref="H65:S65"/>
    <mergeCell ref="H66:S66"/>
    <mergeCell ref="H67:S67"/>
    <mergeCell ref="H70:S70"/>
    <mergeCell ref="H56:S56"/>
    <mergeCell ref="H55:S55"/>
    <mergeCell ref="H58:S58"/>
    <mergeCell ref="H57:S57"/>
    <mergeCell ref="H59:S59"/>
    <mergeCell ref="R49:S49"/>
    <mergeCell ref="H50:S50"/>
    <mergeCell ref="H51:S51"/>
    <mergeCell ref="H71:I71"/>
    <mergeCell ref="J71:K71"/>
    <mergeCell ref="L71:M71"/>
    <mergeCell ref="N71:O71"/>
    <mergeCell ref="P71:Q71"/>
    <mergeCell ref="R71:S71"/>
    <mergeCell ref="H49:I49"/>
    <mergeCell ref="J49:K49"/>
    <mergeCell ref="L49:M49"/>
    <mergeCell ref="N49:O49"/>
    <mergeCell ref="P49:Q49"/>
    <mergeCell ref="H68:S68"/>
    <mergeCell ref="H69:S69"/>
    <mergeCell ref="R73:S73"/>
    <mergeCell ref="H74:I74"/>
    <mergeCell ref="J74:K74"/>
    <mergeCell ref="L74:M74"/>
    <mergeCell ref="N74:O74"/>
    <mergeCell ref="P74:Q74"/>
    <mergeCell ref="R74:S74"/>
    <mergeCell ref="H73:I73"/>
    <mergeCell ref="J73:K73"/>
    <mergeCell ref="L73:M73"/>
    <mergeCell ref="N73:O73"/>
    <mergeCell ref="P73:Q73"/>
    <mergeCell ref="R75:S75"/>
    <mergeCell ref="H76:I76"/>
    <mergeCell ref="J76:K76"/>
    <mergeCell ref="L76:M76"/>
    <mergeCell ref="N76:O76"/>
    <mergeCell ref="P76:Q76"/>
    <mergeCell ref="R76:S76"/>
    <mergeCell ref="H75:I75"/>
    <mergeCell ref="J75:K75"/>
    <mergeCell ref="L75:M75"/>
    <mergeCell ref="N75:O75"/>
    <mergeCell ref="P75:Q75"/>
    <mergeCell ref="R77:S77"/>
    <mergeCell ref="H78:I78"/>
    <mergeCell ref="J78:K78"/>
    <mergeCell ref="L78:M78"/>
    <mergeCell ref="N78:O78"/>
    <mergeCell ref="P78:Q78"/>
    <mergeCell ref="R78:S78"/>
    <mergeCell ref="H77:I77"/>
    <mergeCell ref="J77:K77"/>
    <mergeCell ref="L77:M77"/>
    <mergeCell ref="N77:O77"/>
    <mergeCell ref="P77:Q77"/>
    <mergeCell ref="R79:S79"/>
    <mergeCell ref="H80:I80"/>
    <mergeCell ref="J80:K80"/>
    <mergeCell ref="L80:M80"/>
    <mergeCell ref="N80:O80"/>
    <mergeCell ref="P80:Q80"/>
    <mergeCell ref="R80:S80"/>
    <mergeCell ref="H79:I79"/>
    <mergeCell ref="J79:K79"/>
    <mergeCell ref="L79:M79"/>
    <mergeCell ref="N79:O79"/>
    <mergeCell ref="P79:Q79"/>
    <mergeCell ref="R81:S81"/>
    <mergeCell ref="H82:I82"/>
    <mergeCell ref="J82:K82"/>
    <mergeCell ref="L82:M82"/>
    <mergeCell ref="N82:O82"/>
    <mergeCell ref="P82:Q82"/>
    <mergeCell ref="R82:S82"/>
    <mergeCell ref="H81:I81"/>
    <mergeCell ref="J81:K81"/>
    <mergeCell ref="L81:M81"/>
    <mergeCell ref="N81:O81"/>
    <mergeCell ref="P81:Q81"/>
    <mergeCell ref="R83:S83"/>
    <mergeCell ref="H84:I84"/>
    <mergeCell ref="J84:K84"/>
    <mergeCell ref="L84:M84"/>
    <mergeCell ref="N84:O84"/>
    <mergeCell ref="P84:Q84"/>
    <mergeCell ref="R84:S84"/>
    <mergeCell ref="H83:I83"/>
    <mergeCell ref="J83:K83"/>
    <mergeCell ref="L83:M83"/>
    <mergeCell ref="N83:O83"/>
    <mergeCell ref="P83:Q83"/>
    <mergeCell ref="H90:I90"/>
    <mergeCell ref="H91:I91"/>
    <mergeCell ref="J90:K90"/>
    <mergeCell ref="L90:M90"/>
    <mergeCell ref="J91:K91"/>
    <mergeCell ref="L91:M91"/>
    <mergeCell ref="R85:S85"/>
    <mergeCell ref="H86:I86"/>
    <mergeCell ref="J86:K86"/>
    <mergeCell ref="L86:M86"/>
    <mergeCell ref="N86:O86"/>
    <mergeCell ref="P86:Q86"/>
    <mergeCell ref="R86:S86"/>
    <mergeCell ref="H85:I85"/>
    <mergeCell ref="J85:K85"/>
    <mergeCell ref="L85:M85"/>
    <mergeCell ref="N85:O85"/>
    <mergeCell ref="P85:Q85"/>
    <mergeCell ref="N90:O90"/>
    <mergeCell ref="P90:Q90"/>
    <mergeCell ref="R90:S90"/>
    <mergeCell ref="H89:I89"/>
    <mergeCell ref="J89:K89"/>
    <mergeCell ref="L89:M89"/>
    <mergeCell ref="N89:O89"/>
    <mergeCell ref="P89:Q89"/>
    <mergeCell ref="R87:S87"/>
    <mergeCell ref="H87:I87"/>
    <mergeCell ref="J87:K87"/>
    <mergeCell ref="L87:M87"/>
    <mergeCell ref="N87:O87"/>
    <mergeCell ref="P87:Q87"/>
    <mergeCell ref="R89:S89"/>
    <mergeCell ref="H88:I88"/>
    <mergeCell ref="J88:K88"/>
    <mergeCell ref="L88:M88"/>
    <mergeCell ref="N88:O88"/>
    <mergeCell ref="P88:Q88"/>
    <mergeCell ref="R88:S8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66EE8-4646-4166-9087-6FAC8139A9FC}">
  <dimension ref="B2:N25"/>
  <sheetViews>
    <sheetView topLeftCell="A3" zoomScale="60" zoomScaleNormal="60" workbookViewId="0">
      <selection activeCell="B28" sqref="B28"/>
    </sheetView>
  </sheetViews>
  <sheetFormatPr baseColWidth="10" defaultRowHeight="14.25" x14ac:dyDescent="0.45"/>
  <cols>
    <col min="2" max="2" width="26.3984375" customWidth="1"/>
    <col min="3" max="3" width="7.59765625" bestFit="1" customWidth="1"/>
    <col min="4" max="4" width="9.86328125" bestFit="1" customWidth="1"/>
    <col min="5" max="5" width="7.59765625" bestFit="1" customWidth="1"/>
    <col min="6" max="6" width="9.86328125" bestFit="1" customWidth="1"/>
    <col min="7" max="7" width="7.59765625" bestFit="1" customWidth="1"/>
    <col min="8" max="8" width="9.86328125" bestFit="1" customWidth="1"/>
    <col min="9" max="9" width="7.59765625" bestFit="1" customWidth="1"/>
    <col min="10" max="10" width="9.86328125" bestFit="1" customWidth="1"/>
    <col min="11" max="11" width="7.59765625" bestFit="1" customWidth="1"/>
    <col min="12" max="12" width="9.86328125" bestFit="1" customWidth="1"/>
    <col min="13" max="13" width="7.59765625" bestFit="1" customWidth="1"/>
    <col min="14" max="14" width="9.86328125" bestFit="1" customWidth="1"/>
  </cols>
  <sheetData>
    <row r="2" spans="2:14" ht="14.65" thickBot="1" x14ac:dyDescent="0.5">
      <c r="B2" t="s">
        <v>170</v>
      </c>
      <c r="D2" s="28">
        <v>0.49305555555555558</v>
      </c>
      <c r="E2" s="28">
        <v>0.50624999999999998</v>
      </c>
      <c r="F2" s="28">
        <v>0.52500000000000002</v>
      </c>
      <c r="G2" s="29">
        <v>0.58333333333333337</v>
      </c>
      <c r="H2" s="28">
        <v>0.59513888888888888</v>
      </c>
      <c r="I2" s="28">
        <v>0.60902777777777783</v>
      </c>
      <c r="J2" s="28">
        <v>0.64374999999999993</v>
      </c>
      <c r="K2" s="28">
        <v>0.63402777777777775</v>
      </c>
      <c r="L2" s="28">
        <v>0.61597222222222225</v>
      </c>
    </row>
    <row r="3" spans="2:14" ht="14.65" thickBot="1" x14ac:dyDescent="0.5">
      <c r="B3" s="201" t="s">
        <v>170</v>
      </c>
      <c r="C3" s="202"/>
      <c r="D3" s="66" t="s">
        <v>84</v>
      </c>
      <c r="E3" s="66" t="s">
        <v>85</v>
      </c>
      <c r="F3" s="66" t="s">
        <v>86</v>
      </c>
      <c r="G3" s="66" t="s">
        <v>87</v>
      </c>
      <c r="H3" s="66" t="s">
        <v>88</v>
      </c>
      <c r="I3" s="66" t="s">
        <v>89</v>
      </c>
      <c r="J3" s="66" t="s">
        <v>150</v>
      </c>
      <c r="K3" s="66" t="s">
        <v>151</v>
      </c>
      <c r="L3" s="67" t="s">
        <v>152</v>
      </c>
    </row>
    <row r="4" spans="2:14" x14ac:dyDescent="0.45">
      <c r="B4" s="64" t="s">
        <v>92</v>
      </c>
      <c r="C4" s="63" t="s">
        <v>146</v>
      </c>
      <c r="D4" s="33">
        <v>751.5</v>
      </c>
      <c r="E4" s="33">
        <v>607.4</v>
      </c>
      <c r="F4" s="33">
        <v>502.6</v>
      </c>
      <c r="G4" s="33">
        <v>751.2</v>
      </c>
      <c r="H4" s="33">
        <v>604</v>
      </c>
      <c r="I4" s="33">
        <v>506.6</v>
      </c>
      <c r="J4" s="33">
        <v>749</v>
      </c>
      <c r="K4" s="33">
        <v>597</v>
      </c>
      <c r="L4" s="33">
        <v>502.8</v>
      </c>
    </row>
    <row r="5" spans="2:14" x14ac:dyDescent="0.45">
      <c r="B5" s="65" t="s">
        <v>149</v>
      </c>
      <c r="C5" s="4" t="s">
        <v>147</v>
      </c>
      <c r="D5" s="4">
        <v>40.5</v>
      </c>
      <c r="E5" s="4">
        <v>40.5</v>
      </c>
      <c r="F5" s="4">
        <v>40.5</v>
      </c>
      <c r="G5" s="4">
        <v>35</v>
      </c>
      <c r="H5" s="4">
        <v>35</v>
      </c>
      <c r="I5" s="4">
        <v>35</v>
      </c>
      <c r="J5" s="4">
        <v>30</v>
      </c>
      <c r="K5" s="4">
        <v>30</v>
      </c>
      <c r="L5" s="4">
        <v>30</v>
      </c>
    </row>
    <row r="6" spans="2:14" x14ac:dyDescent="0.45">
      <c r="B6" s="65" t="s">
        <v>27</v>
      </c>
      <c r="C6" s="4" t="s">
        <v>113</v>
      </c>
      <c r="D6" s="4">
        <v>1503</v>
      </c>
      <c r="E6" s="4">
        <v>1503</v>
      </c>
      <c r="F6" s="4">
        <v>1493</v>
      </c>
      <c r="G6" s="4">
        <v>1498</v>
      </c>
      <c r="H6" s="4">
        <v>1498</v>
      </c>
      <c r="I6" s="4">
        <v>1496</v>
      </c>
      <c r="J6" s="4">
        <v>1500</v>
      </c>
      <c r="K6" s="4">
        <v>1498</v>
      </c>
      <c r="L6" s="4">
        <v>1503</v>
      </c>
    </row>
    <row r="7" spans="2:14" x14ac:dyDescent="0.45">
      <c r="B7" s="65" t="s">
        <v>16</v>
      </c>
      <c r="C7" s="4" t="s">
        <v>148</v>
      </c>
      <c r="D7" s="4" t="s">
        <v>30</v>
      </c>
      <c r="E7" s="4" t="s">
        <v>30</v>
      </c>
      <c r="F7" s="4">
        <v>0.123</v>
      </c>
      <c r="G7" s="4">
        <v>0.123</v>
      </c>
      <c r="H7" s="4">
        <v>0.122</v>
      </c>
      <c r="I7" s="4">
        <v>0.123</v>
      </c>
      <c r="J7" s="4">
        <v>0.125</v>
      </c>
      <c r="K7" s="4">
        <v>0.121</v>
      </c>
      <c r="L7" s="4">
        <v>0.122</v>
      </c>
    </row>
    <row r="8" spans="2:14" x14ac:dyDescent="0.45">
      <c r="B8" s="9"/>
      <c r="D8" s="9"/>
      <c r="E8" s="9"/>
      <c r="F8" s="9"/>
      <c r="G8" s="9"/>
      <c r="H8" s="9"/>
      <c r="I8" s="9"/>
      <c r="J8" s="9"/>
      <c r="K8" s="9"/>
      <c r="L8" s="9"/>
    </row>
    <row r="9" spans="2:14" ht="14.65" thickBot="1" x14ac:dyDescent="0.5">
      <c r="B9" s="6" t="s">
        <v>171</v>
      </c>
      <c r="D9" s="9"/>
      <c r="E9" s="9"/>
      <c r="F9" s="9"/>
      <c r="G9" s="9"/>
      <c r="H9" s="9"/>
      <c r="I9" s="9"/>
      <c r="J9" s="9"/>
      <c r="K9" s="9"/>
      <c r="L9" s="9"/>
    </row>
    <row r="10" spans="2:14" ht="14.65" thickBot="1" x14ac:dyDescent="0.5">
      <c r="B10" s="201" t="s">
        <v>173</v>
      </c>
      <c r="C10" s="202"/>
      <c r="D10" s="124" t="s">
        <v>84</v>
      </c>
      <c r="E10" s="124" t="s">
        <v>85</v>
      </c>
      <c r="F10" s="124" t="s">
        <v>86</v>
      </c>
      <c r="G10" s="124" t="s">
        <v>87</v>
      </c>
      <c r="H10" s="124" t="s">
        <v>88</v>
      </c>
      <c r="I10" s="124" t="s">
        <v>89</v>
      </c>
      <c r="J10" s="124" t="s">
        <v>152</v>
      </c>
      <c r="K10" s="124" t="s">
        <v>151</v>
      </c>
      <c r="L10" s="125" t="s">
        <v>150</v>
      </c>
      <c r="M10" s="9"/>
    </row>
    <row r="11" spans="2:14" x14ac:dyDescent="0.45">
      <c r="B11" s="126" t="s">
        <v>92</v>
      </c>
      <c r="C11" s="63" t="s">
        <v>146</v>
      </c>
      <c r="D11" s="120">
        <v>751.5</v>
      </c>
      <c r="E11" s="120">
        <v>607.4</v>
      </c>
      <c r="F11" s="120">
        <v>502.6</v>
      </c>
      <c r="G11" s="120">
        <v>751.2</v>
      </c>
      <c r="H11" s="120">
        <v>604</v>
      </c>
      <c r="I11" s="120">
        <v>506.6</v>
      </c>
      <c r="J11" s="120">
        <v>749</v>
      </c>
      <c r="K11" s="120">
        <v>597</v>
      </c>
      <c r="L11" s="121">
        <v>502.8</v>
      </c>
      <c r="M11" s="9"/>
    </row>
    <row r="12" spans="2:14" x14ac:dyDescent="0.45">
      <c r="B12" s="127" t="s">
        <v>176</v>
      </c>
      <c r="C12" s="4" t="s">
        <v>147</v>
      </c>
      <c r="D12" s="4">
        <v>40.5</v>
      </c>
      <c r="E12" s="4">
        <v>40.5</v>
      </c>
      <c r="F12" s="4">
        <v>40.5</v>
      </c>
      <c r="G12" s="4">
        <v>35</v>
      </c>
      <c r="H12" s="4">
        <v>35</v>
      </c>
      <c r="I12" s="4">
        <v>35</v>
      </c>
      <c r="J12" s="4">
        <v>30</v>
      </c>
      <c r="K12" s="4">
        <v>30</v>
      </c>
      <c r="L12" s="122">
        <v>30</v>
      </c>
      <c r="M12" s="9"/>
    </row>
    <row r="13" spans="2:14" x14ac:dyDescent="0.45">
      <c r="B13" s="127" t="s">
        <v>27</v>
      </c>
      <c r="C13" s="4" t="s">
        <v>113</v>
      </c>
      <c r="D13" s="4">
        <v>1503</v>
      </c>
      <c r="E13" s="4">
        <v>1503</v>
      </c>
      <c r="F13" s="4">
        <v>1493</v>
      </c>
      <c r="G13" s="4">
        <v>1498</v>
      </c>
      <c r="H13" s="4">
        <v>1498</v>
      </c>
      <c r="I13" s="4">
        <v>1496</v>
      </c>
      <c r="J13" s="4">
        <v>1500</v>
      </c>
      <c r="K13" s="4">
        <v>1498</v>
      </c>
      <c r="L13" s="122">
        <v>1503</v>
      </c>
      <c r="M13" s="9"/>
    </row>
    <row r="14" spans="2:14" ht="14.65" thickBot="1" x14ac:dyDescent="0.5">
      <c r="B14" s="128" t="s">
        <v>188</v>
      </c>
      <c r="C14" s="123" t="s">
        <v>172</v>
      </c>
      <c r="D14" s="118">
        <f>Høytemp!H8*0.01*20.17*(D13*2*PI()/60)</f>
        <v>558.73536990085711</v>
      </c>
      <c r="E14" s="118">
        <f>Høytemp!I8*0.01*20.17*(E13*2*PI()/60)</f>
        <v>-92.064350722300318</v>
      </c>
      <c r="F14" s="118">
        <f>Høytemp!J8*0.01*20.17*(F13*2*PI()/60)</f>
        <v>-766.30312656755086</v>
      </c>
      <c r="G14" s="118">
        <f>Høytemp!K8*0.01*20.17*(G13*2*PI()/60)</f>
        <v>626.48621565230837</v>
      </c>
      <c r="H14" s="118">
        <f>Høytemp!L8*0.01*20.17*(H13*2*PI()/60)</f>
        <v>-25.312574369790237</v>
      </c>
      <c r="I14" s="118">
        <f>Høytemp!M8*0.01*20.17*(I13*2*PI()/60)</f>
        <v>-679.36719127998424</v>
      </c>
      <c r="J14" s="118">
        <f>Høytemp!N8*0.01*20.17*(J13*2*PI()/60)</f>
        <v>582.96649917073648</v>
      </c>
      <c r="K14" s="118">
        <f>Høytemp!O8*0.01*20.17*(K13*2*PI()/60)</f>
        <v>-47.461076943356694</v>
      </c>
      <c r="L14" s="119">
        <f>Høytemp!P8*0.01*20.17*(L13*2*PI()/60)</f>
        <v>-466.67101917855678</v>
      </c>
      <c r="M14" s="9"/>
    </row>
    <row r="15" spans="2:14" ht="14.65" thickBot="1" x14ac:dyDescent="0.5">
      <c r="L15" s="9"/>
    </row>
    <row r="16" spans="2:14" x14ac:dyDescent="0.45">
      <c r="B16" s="30" t="s">
        <v>37</v>
      </c>
      <c r="C16" s="203" t="s">
        <v>38</v>
      </c>
      <c r="D16" s="204"/>
      <c r="E16" s="203" t="s">
        <v>39</v>
      </c>
      <c r="F16" s="204"/>
      <c r="G16" s="203" t="s">
        <v>40</v>
      </c>
      <c r="H16" s="204"/>
      <c r="I16" s="203" t="s">
        <v>41</v>
      </c>
      <c r="J16" s="204"/>
      <c r="K16" s="203" t="s">
        <v>42</v>
      </c>
      <c r="L16" s="204"/>
      <c r="M16" s="203" t="s">
        <v>43</v>
      </c>
      <c r="N16" s="204"/>
    </row>
    <row r="17" spans="2:14" x14ac:dyDescent="0.45">
      <c r="B17" s="31" t="s">
        <v>45</v>
      </c>
      <c r="C17" s="205">
        <v>30</v>
      </c>
      <c r="D17" s="206"/>
      <c r="E17" s="205">
        <v>35</v>
      </c>
      <c r="F17" s="206"/>
      <c r="G17" s="205">
        <v>40</v>
      </c>
      <c r="H17" s="206"/>
      <c r="I17" s="205">
        <v>40.5</v>
      </c>
      <c r="J17" s="206"/>
      <c r="K17" s="205">
        <v>35.5</v>
      </c>
      <c r="L17" s="206"/>
      <c r="M17" s="205">
        <v>30.5</v>
      </c>
      <c r="N17" s="206"/>
    </row>
    <row r="18" spans="2:14" ht="16.149999999999999" thickBot="1" x14ac:dyDescent="0.6">
      <c r="B18" s="32" t="s">
        <v>48</v>
      </c>
      <c r="C18" s="140" t="s">
        <v>177</v>
      </c>
      <c r="D18" s="141" t="s">
        <v>179</v>
      </c>
      <c r="E18" s="140" t="s">
        <v>177</v>
      </c>
      <c r="F18" s="141" t="s">
        <v>179</v>
      </c>
      <c r="G18" s="140" t="s">
        <v>177</v>
      </c>
      <c r="H18" s="141" t="s">
        <v>179</v>
      </c>
      <c r="I18" s="140" t="s">
        <v>177</v>
      </c>
      <c r="J18" s="141" t="s">
        <v>179</v>
      </c>
      <c r="K18" s="140" t="s">
        <v>177</v>
      </c>
      <c r="L18" s="141" t="s">
        <v>179</v>
      </c>
      <c r="M18" s="140" t="s">
        <v>177</v>
      </c>
      <c r="N18" s="141" t="s">
        <v>179</v>
      </c>
    </row>
    <row r="19" spans="2:14" x14ac:dyDescent="0.45">
      <c r="B19" s="130" t="s">
        <v>178</v>
      </c>
      <c r="C19" s="134">
        <v>744.7</v>
      </c>
      <c r="D19" s="135">
        <v>741.9</v>
      </c>
      <c r="E19" s="134">
        <v>727.5</v>
      </c>
      <c r="F19" s="135">
        <v>731.1</v>
      </c>
      <c r="G19" s="134">
        <v>728.8</v>
      </c>
      <c r="H19" s="135">
        <v>700.1</v>
      </c>
      <c r="I19" s="134">
        <v>757</v>
      </c>
      <c r="J19" s="135">
        <v>747</v>
      </c>
      <c r="K19" s="134">
        <v>761.7</v>
      </c>
      <c r="L19" s="135">
        <v>750.2</v>
      </c>
      <c r="M19" s="134">
        <v>748.6</v>
      </c>
      <c r="N19" s="135">
        <v>737.8</v>
      </c>
    </row>
    <row r="20" spans="2:14" x14ac:dyDescent="0.45">
      <c r="B20" s="132" t="s">
        <v>65</v>
      </c>
      <c r="C20" s="136">
        <f t="shared" ref="C20:N20" si="0">C25-C24</f>
        <v>10.66</v>
      </c>
      <c r="D20" s="137">
        <f t="shared" si="0"/>
        <v>2</v>
      </c>
      <c r="E20" s="136">
        <f t="shared" si="0"/>
        <v>10.08</v>
      </c>
      <c r="F20" s="137">
        <f t="shared" si="0"/>
        <v>1.9700000000000006</v>
      </c>
      <c r="G20" s="136">
        <f t="shared" si="0"/>
        <v>10.95</v>
      </c>
      <c r="H20" s="137">
        <f t="shared" si="0"/>
        <v>2.1399999999999997</v>
      </c>
      <c r="I20" s="136">
        <f t="shared" si="0"/>
        <v>11.299999999999999</v>
      </c>
      <c r="J20" s="137">
        <f t="shared" si="0"/>
        <v>2.6000000000000005</v>
      </c>
      <c r="K20" s="136">
        <f t="shared" si="0"/>
        <v>10.700000000000001</v>
      </c>
      <c r="L20" s="137">
        <f t="shared" si="0"/>
        <v>2.0999999999999996</v>
      </c>
      <c r="M20" s="136">
        <f t="shared" si="0"/>
        <v>9.5</v>
      </c>
      <c r="N20" s="137">
        <f t="shared" si="0"/>
        <v>1.9000000000000004</v>
      </c>
    </row>
    <row r="21" spans="2:14" ht="14.65" thickBot="1" x14ac:dyDescent="0.5">
      <c r="B21" s="133" t="s">
        <v>187</v>
      </c>
      <c r="C21" s="138">
        <f t="shared" ref="C21:N21" si="1">(C22*0.01)*20.19*(2*PI()*C23)/60</f>
        <v>523.63609248303578</v>
      </c>
      <c r="D21" s="139">
        <f t="shared" si="1"/>
        <v>522.58951801438218</v>
      </c>
      <c r="E21" s="138">
        <f t="shared" si="1"/>
        <v>597.02527709199808</v>
      </c>
      <c r="F21" s="139">
        <f t="shared" si="1"/>
        <v>597.02527709199808</v>
      </c>
      <c r="G21" s="138">
        <f t="shared" si="1"/>
        <v>650.5781755092263</v>
      </c>
      <c r="H21" s="139">
        <f t="shared" si="1"/>
        <v>582.37746311455885</v>
      </c>
      <c r="I21" s="138">
        <f t="shared" si="1"/>
        <v>851.07858649284833</v>
      </c>
      <c r="J21" s="139">
        <f t="shared" si="1"/>
        <v>911.54733357061411</v>
      </c>
      <c r="K21" s="138">
        <f t="shared" si="1"/>
        <v>860.03261250244077</v>
      </c>
      <c r="L21" s="139">
        <f t="shared" si="1"/>
        <v>789.16154949381439</v>
      </c>
      <c r="M21" s="138">
        <f t="shared" si="1"/>
        <v>532.44634664642911</v>
      </c>
      <c r="N21" s="139">
        <f t="shared" si="1"/>
        <v>563.76323761551544</v>
      </c>
    </row>
    <row r="22" spans="2:14" x14ac:dyDescent="0.45">
      <c r="B22" s="129" t="s">
        <v>70</v>
      </c>
      <c r="C22" s="47">
        <v>16.5</v>
      </c>
      <c r="D22" s="50">
        <v>16.5</v>
      </c>
      <c r="E22" s="49">
        <v>18.8</v>
      </c>
      <c r="F22" s="48">
        <v>18.8</v>
      </c>
      <c r="G22" s="47">
        <v>20.5</v>
      </c>
      <c r="H22" s="50">
        <v>18.399999999999999</v>
      </c>
      <c r="I22" s="49">
        <v>26.8</v>
      </c>
      <c r="J22" s="51">
        <v>28.8</v>
      </c>
      <c r="K22" s="47">
        <v>27.1</v>
      </c>
      <c r="L22" s="50">
        <v>24.9</v>
      </c>
      <c r="M22" s="47">
        <v>16.8</v>
      </c>
      <c r="N22" s="50">
        <v>17.8</v>
      </c>
    </row>
    <row r="23" spans="2:14" x14ac:dyDescent="0.45">
      <c r="B23" s="46" t="s">
        <v>0</v>
      </c>
      <c r="C23" s="47">
        <v>1501</v>
      </c>
      <c r="D23" s="50">
        <v>1498</v>
      </c>
      <c r="E23" s="47">
        <v>1502</v>
      </c>
      <c r="F23" s="50">
        <v>1502</v>
      </c>
      <c r="G23" s="47">
        <v>1501</v>
      </c>
      <c r="H23" s="50">
        <v>1497</v>
      </c>
      <c r="I23" s="47">
        <v>1502</v>
      </c>
      <c r="J23" s="50">
        <v>1497</v>
      </c>
      <c r="K23" s="47">
        <v>1501</v>
      </c>
      <c r="L23" s="50">
        <v>1499</v>
      </c>
      <c r="M23" s="47">
        <v>1499</v>
      </c>
      <c r="N23" s="50">
        <v>1498</v>
      </c>
    </row>
    <row r="24" spans="2:14" x14ac:dyDescent="0.45">
      <c r="B24" s="131" t="s">
        <v>60</v>
      </c>
      <c r="C24" s="44">
        <v>8.27</v>
      </c>
      <c r="D24" s="45">
        <v>7.1</v>
      </c>
      <c r="E24" s="44">
        <v>8.06</v>
      </c>
      <c r="F24" s="45">
        <v>7.17</v>
      </c>
      <c r="G24" s="44">
        <v>8.52</v>
      </c>
      <c r="H24" s="45">
        <v>7.78</v>
      </c>
      <c r="I24" s="44">
        <v>7.1</v>
      </c>
      <c r="J24" s="45">
        <v>6.7</v>
      </c>
      <c r="K24" s="44">
        <v>7.4</v>
      </c>
      <c r="L24" s="45">
        <v>6.6</v>
      </c>
      <c r="M24" s="44">
        <v>7.8</v>
      </c>
      <c r="N24" s="45">
        <v>7.4</v>
      </c>
    </row>
    <row r="25" spans="2:14" x14ac:dyDescent="0.45">
      <c r="B25" s="131" t="s">
        <v>63</v>
      </c>
      <c r="C25" s="44">
        <v>18.93</v>
      </c>
      <c r="D25" s="45">
        <v>9.1</v>
      </c>
      <c r="E25" s="44">
        <v>18.14</v>
      </c>
      <c r="F25" s="45">
        <v>9.14</v>
      </c>
      <c r="G25" s="44">
        <v>19.47</v>
      </c>
      <c r="H25" s="45">
        <v>9.92</v>
      </c>
      <c r="I25" s="44">
        <v>18.399999999999999</v>
      </c>
      <c r="J25" s="45">
        <v>9.3000000000000007</v>
      </c>
      <c r="K25" s="44">
        <v>18.100000000000001</v>
      </c>
      <c r="L25" s="45">
        <v>8.6999999999999993</v>
      </c>
      <c r="M25" s="44">
        <v>17.3</v>
      </c>
      <c r="N25" s="45">
        <v>9.3000000000000007</v>
      </c>
    </row>
  </sheetData>
  <mergeCells count="14"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B3:C3"/>
    <mergeCell ref="B10:C10"/>
    <mergeCell ref="C16:D16"/>
    <mergeCell ref="E16:F16"/>
    <mergeCell ref="G16:H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045BC-5F4F-446D-84BD-2936069020EB}">
  <dimension ref="A2:R55"/>
  <sheetViews>
    <sheetView zoomScale="80" zoomScaleNormal="80" workbookViewId="0">
      <selection activeCell="I24" sqref="I24"/>
    </sheetView>
  </sheetViews>
  <sheetFormatPr baseColWidth="10" defaultRowHeight="14.25" x14ac:dyDescent="0.45"/>
  <cols>
    <col min="1" max="1" width="12.3984375" customWidth="1"/>
    <col min="3" max="3" width="12.3984375" bestFit="1" customWidth="1"/>
    <col min="16" max="16" width="12.59765625" bestFit="1" customWidth="1"/>
  </cols>
  <sheetData>
    <row r="2" spans="1:18" x14ac:dyDescent="0.45">
      <c r="C2" s="62" t="s">
        <v>86</v>
      </c>
      <c r="P2" s="62" t="s">
        <v>85</v>
      </c>
    </row>
    <row r="3" spans="1:18" ht="15.75" x14ac:dyDescent="0.55000000000000004">
      <c r="A3" t="s">
        <v>144</v>
      </c>
      <c r="C3" s="60" t="s">
        <v>143</v>
      </c>
      <c r="D3" t="s">
        <v>153</v>
      </c>
      <c r="E3" t="s">
        <v>145</v>
      </c>
      <c r="P3" s="60" t="s">
        <v>143</v>
      </c>
      <c r="Q3" t="s">
        <v>153</v>
      </c>
      <c r="R3" t="s">
        <v>145</v>
      </c>
    </row>
    <row r="4" spans="1:18" x14ac:dyDescent="0.45">
      <c r="A4">
        <f>(2*PI())/30</f>
        <v>0.20943951023931953</v>
      </c>
      <c r="C4" s="61">
        <v>0</v>
      </c>
      <c r="D4" s="157">
        <f>(0.5*Høytemp!$H$52*(1-COS('PV-diagram'!C4))+Høytemp!$H$54)*10^6</f>
        <v>10</v>
      </c>
      <c r="E4" s="157">
        <f>(Høytemp!$L$39*SQRT(1-(Høytemp!$L$78^2)))/(1-(Høytemp!$L$78*COS('PV-diagram'!C4-Høytemp!$L$77)))*10^(-3)</f>
        <v>4371.7761754301609</v>
      </c>
      <c r="P4" s="61">
        <v>0</v>
      </c>
      <c r="Q4">
        <f>(0.5*Høytemp!$H$52*(1-COS('PV-diagram'!P4))+Høytemp!$H$54)*10^6</f>
        <v>10</v>
      </c>
      <c r="R4">
        <f>(Høytemp!$J$39*SQRT(1-(Høytemp!$J$78^2)))/(1-(Høytemp!$J$78*COS('PV-diagram'!P4-Høytemp!$J$77)))*10^(-3)</f>
        <v>3827.8187448875678</v>
      </c>
    </row>
    <row r="5" spans="1:18" x14ac:dyDescent="0.45">
      <c r="C5" s="61">
        <f>C4+$A$4</f>
        <v>0.20943951023931953</v>
      </c>
      <c r="D5" s="157">
        <f>(0.5*Høytemp!$H$52*(1-COS('PV-diagram'!C5))+Høytemp!$H$54)*10^6</f>
        <v>10.143952680166056</v>
      </c>
      <c r="E5" s="157">
        <f>(Høytemp!$L$39*SQRT(1-(Høytemp!$L$78^2)))/(1-(Høytemp!$L$78*COS('PV-diagram'!C5-Høytemp!$L$77)))*10^(-3)</f>
        <v>3961.4500786277708</v>
      </c>
      <c r="P5" s="61">
        <f>P4+$A$4</f>
        <v>0.20943951023931953</v>
      </c>
      <c r="Q5">
        <f>(0.5*Høytemp!$H$52*(1-COS('PV-diagram'!P5))+Høytemp!$H$54)*10^6</f>
        <v>10.143952680166056</v>
      </c>
      <c r="R5">
        <f>(Høytemp!$J$39*SQRT(1-(Høytemp!$J$78^2)))/(1-(Høytemp!$J$78*COS('PV-diagram'!P5-Høytemp!$J$77)))*10^(-3)</f>
        <v>3467.4268105653441</v>
      </c>
    </row>
    <row r="6" spans="1:18" x14ac:dyDescent="0.45">
      <c r="C6" s="61">
        <f t="shared" ref="C6:C34" si="0">C5+$A$4</f>
        <v>0.41887902047863906</v>
      </c>
      <c r="D6" s="157">
        <f>(0.5*Høytemp!$H$52*(1-COS('PV-diagram'!C6))+Høytemp!$H$54)*10^6</f>
        <v>10.569519297779367</v>
      </c>
      <c r="E6" s="157">
        <f>(Høytemp!$L$39*SQRT(1-(Høytemp!$L$78^2)))/(1-(Høytemp!$L$78*COS('PV-diagram'!C6-Høytemp!$L$77)))*10^(-3)</f>
        <v>3607.5644103533855</v>
      </c>
      <c r="P6" s="61">
        <f t="shared" ref="P6:P34" si="1">P5+$A$4</f>
        <v>0.41887902047863906</v>
      </c>
      <c r="Q6">
        <f>(0.5*Høytemp!$H$52*(1-COS('PV-diagram'!P6))+Høytemp!$H$54)*10^6</f>
        <v>10.569519297779367</v>
      </c>
      <c r="R6">
        <f>(Høytemp!$J$39*SQRT(1-(Høytemp!$J$78^2)))/(1-(Høytemp!$J$78*COS('PV-diagram'!P6-Høytemp!$J$77)))*10^(-3)</f>
        <v>3156.7025881379186</v>
      </c>
    </row>
    <row r="7" spans="1:18" x14ac:dyDescent="0.45">
      <c r="C7" s="61">
        <f t="shared" si="0"/>
        <v>0.62831853071795862</v>
      </c>
      <c r="D7" s="157">
        <f>(0.5*Høytemp!$H$52*(1-COS('PV-diagram'!C7))+Høytemp!$H$54)*10^6</f>
        <v>11.258100549555033</v>
      </c>
      <c r="E7" s="157">
        <f>(Høytemp!$L$39*SQRT(1-(Høytemp!$L$78^2)))/(1-(Høytemp!$L$78*COS('PV-diagram'!C7-Høytemp!$L$77)))*10^(-3)</f>
        <v>3311.8584082547509</v>
      </c>
      <c r="P7" s="61">
        <f t="shared" si="1"/>
        <v>0.62831853071795862</v>
      </c>
      <c r="Q7">
        <f>(0.5*Høytemp!$H$52*(1-COS('PV-diagram'!P7))+Høytemp!$H$54)*10^6</f>
        <v>11.258100549555033</v>
      </c>
      <c r="R7">
        <f>(Høytemp!$J$39*SQRT(1-(Høytemp!$J$78^2)))/(1-(Høytemp!$J$78*COS('PV-diagram'!P7-Høytemp!$J$77)))*10^(-3)</f>
        <v>2897.1351490310094</v>
      </c>
    </row>
    <row r="8" spans="1:18" x14ac:dyDescent="0.45">
      <c r="C8" s="61">
        <f t="shared" si="0"/>
        <v>0.83775804095727813</v>
      </c>
      <c r="D8" s="157">
        <f>(0.5*Høytemp!$H$52*(1-COS('PV-diagram'!C8))+Høytemp!$H$54)*10^6</f>
        <v>12.179602130611022</v>
      </c>
      <c r="E8" s="157">
        <f>(Høytemp!$L$39*SQRT(1-(Høytemp!$L$78^2)))/(1-(Høytemp!$L$78*COS('PV-diagram'!C8-Høytemp!$L$77)))*10^(-3)</f>
        <v>3071.2439424908789</v>
      </c>
      <c r="P8" s="61">
        <f t="shared" si="1"/>
        <v>0.83775804095727813</v>
      </c>
      <c r="Q8">
        <f>(0.5*Høytemp!$H$52*(1-COS('PV-diagram'!P8))+Høytemp!$H$54)*10^6</f>
        <v>12.179602130611022</v>
      </c>
      <c r="R8">
        <f>(Høytemp!$J$39*SQRT(1-(Høytemp!$J$78^2)))/(1-(Høytemp!$J$78*COS('PV-diagram'!P8-Høytemp!$J$77)))*10^(-3)</f>
        <v>2685.9712971392446</v>
      </c>
    </row>
    <row r="9" spans="1:18" x14ac:dyDescent="0.45">
      <c r="C9" s="61">
        <f t="shared" si="0"/>
        <v>1.0471975511965976</v>
      </c>
      <c r="D9" s="157">
        <f>(0.5*Høytemp!$H$52*(1-COS('PV-diagram'!C9))+Høytemp!$H$54)*10^6</f>
        <v>13.293749999999999</v>
      </c>
      <c r="E9" s="157">
        <f>(Høytemp!$L$39*SQRT(1-(Høytemp!$L$78^2)))/(1-(Høytemp!$L$78*COS('PV-diagram'!C9-Høytemp!$L$77)))*10^(-3)</f>
        <v>2880.7772711077273</v>
      </c>
      <c r="P9" s="61">
        <f t="shared" si="1"/>
        <v>1.0471975511965976</v>
      </c>
      <c r="Q9">
        <f>(0.5*Høytemp!$H$52*(1-COS('PV-diagram'!P9))+Høytemp!$H$54)*10^6</f>
        <v>13.293749999999999</v>
      </c>
      <c r="R9">
        <f>(Høytemp!$J$39*SQRT(1-(Høytemp!$J$78^2)))/(1-(Høytemp!$J$78*COS('PV-diagram'!P9-Høytemp!$J$77)))*10^(-3)</f>
        <v>2518.8348803955132</v>
      </c>
    </row>
    <row r="10" spans="1:18" x14ac:dyDescent="0.45">
      <c r="C10" s="61">
        <f t="shared" si="0"/>
        <v>1.2566370614359172</v>
      </c>
      <c r="D10" s="157">
        <f>(0.5*Høytemp!$H$52*(1-COS('PV-diagram'!C10))+Høytemp!$H$54)*10^6</f>
        <v>14.551850549555036</v>
      </c>
      <c r="E10" s="157">
        <f>(Høytemp!$L$39*SQRT(1-(Høytemp!$L$78^2)))/(1-(Høytemp!$L$78*COS('PV-diagram'!C10-Høytemp!$L$77)))*10^(-3)</f>
        <v>2735.3260817543178</v>
      </c>
      <c r="P10" s="61">
        <f t="shared" si="1"/>
        <v>1.2566370614359172</v>
      </c>
      <c r="Q10">
        <f>(0.5*Høytemp!$H$52*(1-COS('PV-diagram'!P10))+Høytemp!$H$54)*10^6</f>
        <v>14.551850549555036</v>
      </c>
      <c r="R10">
        <f>(Høytemp!$J$39*SQRT(1-(Høytemp!$J$78^2)))/(1-(Høytemp!$J$78*COS('PV-diagram'!P10-Høytemp!$J$77)))*10^(-3)</f>
        <v>2391.1926691250787</v>
      </c>
    </row>
    <row r="11" spans="1:18" x14ac:dyDescent="0.45">
      <c r="C11" s="61">
        <f t="shared" si="0"/>
        <v>1.4660765716752369</v>
      </c>
      <c r="D11" s="157">
        <f>(0.5*Høytemp!$H$52*(1-COS('PV-diagram'!C11))+Høytemp!$H$54)*10^6</f>
        <v>15.898918748224336</v>
      </c>
      <c r="E11" s="157">
        <f>(Høytemp!$L$39*SQRT(1-(Høytemp!$L$78^2)))/(1-(Høytemp!$L$78*COS('PV-diagram'!C11-Høytemp!$L$77)))*10^(-3)</f>
        <v>2630.4021578107704</v>
      </c>
      <c r="P11" s="61">
        <f t="shared" si="1"/>
        <v>1.4660765716752369</v>
      </c>
      <c r="Q11">
        <f>(0.5*Høytemp!$H$52*(1-COS('PV-diagram'!P11))+Høytemp!$H$54)*10^6</f>
        <v>15.898918748224336</v>
      </c>
      <c r="R11">
        <f>(Høytemp!$J$39*SQRT(1-(Høytemp!$J$78^2)))/(1-(Høytemp!$J$78*COS('PV-diagram'!P11-Høytemp!$J$77)))*10^(-3)</f>
        <v>2299.084316928403</v>
      </c>
    </row>
    <row r="12" spans="1:18" x14ac:dyDescent="0.45">
      <c r="C12" s="61">
        <f t="shared" si="0"/>
        <v>1.6755160819145565</v>
      </c>
      <c r="D12" s="157">
        <f>(0.5*Høytemp!$H$52*(1-COS('PV-diagram'!C12))+Høytemp!$H$54)*10^6</f>
        <v>17.276081251775668</v>
      </c>
      <c r="E12" s="157">
        <f>(Høytemp!$L$39*SQRT(1-(Høytemp!$L$78^2)))/(1-(Høytemp!$L$78*COS('PV-diagram'!C12-Høytemp!$L$77)))*10^(-3)</f>
        <v>2562.5267305811994</v>
      </c>
      <c r="P12" s="61">
        <f t="shared" si="1"/>
        <v>1.6755160819145565</v>
      </c>
      <c r="Q12">
        <f>(0.5*Høytemp!$H$52*(1-COS('PV-diagram'!P12))+Høytemp!$H$54)*10^6</f>
        <v>17.276081251775668</v>
      </c>
      <c r="R12">
        <f>(Høytemp!$J$39*SQRT(1-(Høytemp!$J$78^2)))/(1-(Høytemp!$J$78*COS('PV-diagram'!P12-Høytemp!$J$77)))*10^(-3)</f>
        <v>2239.4411280282575</v>
      </c>
    </row>
    <row r="13" spans="1:18" x14ac:dyDescent="0.45">
      <c r="C13" s="61">
        <f t="shared" si="0"/>
        <v>1.8849555921538761</v>
      </c>
      <c r="D13" s="157">
        <f>(0.5*Høytemp!$H$52*(1-COS('PV-diagram'!C13))+Høytemp!$H$54)*10^6</f>
        <v>18.623149450444966</v>
      </c>
      <c r="E13" s="157">
        <f>(Høytemp!$L$39*SQRT(1-(Høytemp!$L$78^2)))/(1-(Høytemp!$L$78*COS('PV-diagram'!C13-Høytemp!$L$77)))*10^(-3)</f>
        <v>2529.3626909855429</v>
      </c>
      <c r="P13" s="61">
        <f t="shared" si="1"/>
        <v>1.8849555921538761</v>
      </c>
      <c r="Q13">
        <f>(0.5*Høytemp!$H$52*(1-COS('PV-diagram'!P13))+Høytemp!$H$54)*10^6</f>
        <v>18.623149450444966</v>
      </c>
      <c r="R13">
        <f>(Høytemp!$J$39*SQRT(1-(Høytemp!$J$78^2)))/(1-(Høytemp!$J$78*COS('PV-diagram'!P13-Høytemp!$J$77)))*10^(-3)</f>
        <v>2210.2002828932686</v>
      </c>
    </row>
    <row r="14" spans="1:18" x14ac:dyDescent="0.45">
      <c r="C14" s="61">
        <f t="shared" si="0"/>
        <v>2.0943951023931957</v>
      </c>
      <c r="D14" s="157">
        <f>(0.5*Høytemp!$H$52*(1-COS('PV-diagram'!C14))+Høytemp!$H$54)*10^6</f>
        <v>19.881250000000001</v>
      </c>
      <c r="E14" s="157">
        <f>(Høytemp!$L$39*SQRT(1-(Høytemp!$L$78^2)))/(1-(Høytemp!$L$78*COS('PV-diagram'!C14-Høytemp!$L$77)))*10^(-3)</f>
        <v>2529.7472410824735</v>
      </c>
      <c r="P14" s="61">
        <f t="shared" si="1"/>
        <v>2.0943951023931957</v>
      </c>
      <c r="Q14">
        <f>(0.5*Høytemp!$H$52*(1-COS('PV-diagram'!P14))+Høytemp!$H$54)*10^6</f>
        <v>19.881250000000001</v>
      </c>
      <c r="R14">
        <f>(Høytemp!$J$39*SQRT(1-(Høytemp!$J$78^2)))/(1-(Høytemp!$J$78*COS('PV-diagram'!P14-Høytemp!$J$77)))*10^(-3)</f>
        <v>2210.3321670285504</v>
      </c>
    </row>
    <row r="15" spans="1:18" x14ac:dyDescent="0.45">
      <c r="C15" s="61">
        <f t="shared" si="0"/>
        <v>2.3038346126325151</v>
      </c>
      <c r="D15" s="157">
        <f>(0.5*Høytemp!$H$52*(1-COS('PV-diagram'!C15))+Høytemp!$H$54)*10^6</f>
        <v>20.995397869388981</v>
      </c>
      <c r="E15" s="157">
        <f>(Høytemp!$L$39*SQRT(1-(Høytemp!$L$78^2)))/(1-(Høytemp!$L$78*COS('PV-diagram'!C15-Høytemp!$L$77)))*10^(-3)</f>
        <v>2563.6939353809698</v>
      </c>
      <c r="P15" s="61">
        <f t="shared" si="1"/>
        <v>2.3038346126325151</v>
      </c>
      <c r="Q15">
        <f>(0.5*Høytemp!$H$52*(1-COS('PV-diagram'!P15))+Høytemp!$H$54)*10^6</f>
        <v>20.995397869388981</v>
      </c>
      <c r="R15">
        <f>(Høytemp!$J$39*SQRT(1-(Høytemp!$J$78^2)))/(1-(Høytemp!$J$78*COS('PV-diagram'!P15-Høytemp!$J$77)))*10^(-3)</f>
        <v>2239.8414487835744</v>
      </c>
    </row>
    <row r="16" spans="1:18" x14ac:dyDescent="0.45">
      <c r="C16" s="61">
        <f t="shared" si="0"/>
        <v>2.5132741228718345</v>
      </c>
      <c r="D16" s="157">
        <f>(0.5*Høytemp!$H$52*(1-COS('PV-diagram'!C16))+Høytemp!$H$54)*10^6</f>
        <v>21.916899450444966</v>
      </c>
      <c r="E16" s="157">
        <f>(Høytemp!$L$39*SQRT(1-(Høytemp!$L$78^2)))/(1-(Høytemp!$L$78*COS('PV-diagram'!C16-Høytemp!$L$77)))*10^(-3)</f>
        <v>2632.3927071909557</v>
      </c>
      <c r="P16" s="61">
        <f t="shared" si="1"/>
        <v>2.5132741228718345</v>
      </c>
      <c r="Q16">
        <f>(0.5*Høytemp!$H$52*(1-COS('PV-diagram'!P16))+Høytemp!$H$54)*10^6</f>
        <v>21.916899450444966</v>
      </c>
      <c r="R16">
        <f>(Høytemp!$J$39*SQRT(1-(Høytemp!$J$78^2)))/(1-(Høytemp!$J$78*COS('PV-diagram'!P16-Høytemp!$J$77)))*10^(-3)</f>
        <v>2299.7670918716735</v>
      </c>
    </row>
    <row r="17" spans="3:18" x14ac:dyDescent="0.45">
      <c r="C17" s="61">
        <f t="shared" si="0"/>
        <v>2.7227136331111539</v>
      </c>
      <c r="D17" s="157">
        <f>(0.5*Høytemp!$H$52*(1-COS('PV-diagram'!C17))+Høytemp!$H$54)*10^6</f>
        <v>22.605480702220635</v>
      </c>
      <c r="E17" s="157">
        <f>(Høytemp!$L$39*SQRT(1-(Høytemp!$L$78^2)))/(1-(Høytemp!$L$78*COS('PV-diagram'!C17-Høytemp!$L$77)))*10^(-3)</f>
        <v>2738.2075675856418</v>
      </c>
      <c r="P17" s="61">
        <f t="shared" si="1"/>
        <v>2.7227136331111539</v>
      </c>
      <c r="Q17">
        <f>(0.5*Høytemp!$H$52*(1-COS('PV-diagram'!P17))+Høytemp!$H$54)*10^6</f>
        <v>22.605480702220635</v>
      </c>
      <c r="R17">
        <f>(Høytemp!$J$39*SQRT(1-(Høytemp!$J$78^2)))/(1-(Høytemp!$J$78*COS('PV-diagram'!P17-Høytemp!$J$77)))*10^(-3)</f>
        <v>2392.1811957117975</v>
      </c>
    </row>
    <row r="18" spans="3:18" x14ac:dyDescent="0.45">
      <c r="C18" s="61">
        <f t="shared" si="0"/>
        <v>2.9321531433504733</v>
      </c>
      <c r="D18" s="157">
        <f>(0.5*Høytemp!$H$52*(1-COS('PV-diagram'!C18))+Høytemp!$H$54)*10^6</f>
        <v>23.031047319833949</v>
      </c>
      <c r="E18" s="157">
        <f>(Høytemp!$L$39*SQRT(1-(Høytemp!$L$78^2)))/(1-(Høytemp!$L$78*COS('PV-diagram'!C18-Høytemp!$L$77)))*10^(-3)</f>
        <v>2884.6426267955212</v>
      </c>
      <c r="P18" s="61">
        <f t="shared" si="1"/>
        <v>2.9321531433504733</v>
      </c>
      <c r="Q18">
        <f>(0.5*Høytemp!$H$52*(1-COS('PV-diagram'!P18))+Høytemp!$H$54)*10^6</f>
        <v>23.031047319833949</v>
      </c>
      <c r="R18">
        <f>(Høytemp!$J$39*SQRT(1-(Høytemp!$J$78^2)))/(1-(Høytemp!$J$78*COS('PV-diagram'!P18-Høytemp!$J$77)))*10^(-3)</f>
        <v>2520.1612192244484</v>
      </c>
    </row>
    <row r="19" spans="3:18" x14ac:dyDescent="0.45">
      <c r="C19" s="61">
        <f t="shared" si="0"/>
        <v>3.1415926535897927</v>
      </c>
      <c r="D19" s="157">
        <f>(0.5*Høytemp!$H$52*(1-COS('PV-diagram'!C19))+Høytemp!$H$54)*10^6</f>
        <v>23.175000000000001</v>
      </c>
      <c r="E19" s="157">
        <f>(Høytemp!$L$39*SQRT(1-(Høytemp!$L$78^2)))/(1-(Høytemp!$L$78*COS('PV-diagram'!C19-Høytemp!$L$77)))*10^(-3)</f>
        <v>3076.2063229301684</v>
      </c>
      <c r="P19" s="61">
        <f t="shared" si="1"/>
        <v>3.1415926535897927</v>
      </c>
      <c r="Q19">
        <f>(0.5*Høytemp!$H$52*(1-COS('PV-diagram'!P19))+Høytemp!$H$54)*10^6</f>
        <v>23.175000000000001</v>
      </c>
      <c r="R19">
        <f>(Høytemp!$J$39*SQRT(1-(Høytemp!$J$78^2)))/(1-(Høytemp!$J$78*COS('PV-diagram'!P19-Høytemp!$J$77)))*10^(-3)</f>
        <v>2687.6745417516195</v>
      </c>
    </row>
    <row r="20" spans="3:18" x14ac:dyDescent="0.45">
      <c r="C20" s="61">
        <f t="shared" si="0"/>
        <v>3.3510321638291121</v>
      </c>
      <c r="D20" s="157">
        <f>(0.5*Høytemp!$H$52*(1-COS('PV-diagram'!C20))+Høytemp!$H$54)*10^6</f>
        <v>23.031047319833949</v>
      </c>
      <c r="E20" s="157">
        <f>(Høytemp!$L$39*SQRT(1-(Høytemp!$L$78^2)))/(1-(Høytemp!$L$78*COS('PV-diagram'!C20-Høytemp!$L$77)))*10^(-3)</f>
        <v>3318.0383969820136</v>
      </c>
      <c r="P20" s="61">
        <f t="shared" si="1"/>
        <v>3.3510321638291121</v>
      </c>
      <c r="Q20">
        <f>(0.5*Høytemp!$H$52*(1-COS('PV-diagram'!P20))+Høytemp!$H$54)*10^6</f>
        <v>23.031047319833949</v>
      </c>
      <c r="R20">
        <f>(Høytemp!$J$39*SQRT(1-(Høytemp!$J$78^2)))/(1-(Høytemp!$J$78*COS('PV-diagram'!P20-Høytemp!$J$77)))*10^(-3)</f>
        <v>2899.2570674860144</v>
      </c>
    </row>
    <row r="21" spans="3:18" x14ac:dyDescent="0.45">
      <c r="C21" s="61">
        <f t="shared" si="0"/>
        <v>3.5604716740684315</v>
      </c>
      <c r="D21" s="157">
        <f>(0.5*Høytemp!$H$52*(1-COS('PV-diagram'!C21))+Høytemp!$H$54)*10^6</f>
        <v>22.605480702220635</v>
      </c>
      <c r="E21" s="157">
        <f>(Høytemp!$L$39*SQRT(1-(Høytemp!$L$78^2)))/(1-(Høytemp!$L$78*COS('PV-diagram'!C21-Høytemp!$L$77)))*10^(-3)</f>
        <v>3615.0626625565628</v>
      </c>
      <c r="P21" s="61">
        <f t="shared" si="1"/>
        <v>3.5604716740684315</v>
      </c>
      <c r="Q21">
        <f>(0.5*Høytemp!$H$52*(1-COS('PV-diagram'!P21))+Høytemp!$H$54)*10^6</f>
        <v>22.605480702220635</v>
      </c>
      <c r="R21">
        <f>(Høytemp!$J$39*SQRT(1-(Høytemp!$J$78^2)))/(1-(Høytemp!$J$78*COS('PV-diagram'!P21-Høytemp!$J$77)))*10^(-3)</f>
        <v>3159.2782589797457</v>
      </c>
    </row>
    <row r="22" spans="3:18" x14ac:dyDescent="0.45">
      <c r="C22" s="61">
        <f t="shared" si="0"/>
        <v>3.7699111843077509</v>
      </c>
      <c r="D22" s="157">
        <f>(0.5*Høytemp!$H$52*(1-COS('PV-diagram'!C22))+Høytemp!$H$54)*10^6</f>
        <v>21.916899450444969</v>
      </c>
      <c r="E22" s="157">
        <f>(Høytemp!$L$39*SQRT(1-(Høytemp!$L$78^2)))/(1-(Høytemp!$L$78*COS('PV-diagram'!C22-Høytemp!$L$77)))*10^(-3)</f>
        <v>3970.2953572515698</v>
      </c>
      <c r="P22" s="61">
        <f t="shared" si="1"/>
        <v>3.7699111843077509</v>
      </c>
      <c r="Q22">
        <f>(0.5*Høytemp!$H$52*(1-COS('PV-diagram'!P22))+Høytemp!$H$54)*10^6</f>
        <v>21.916899450444969</v>
      </c>
      <c r="R22">
        <f>(Høytemp!$J$39*SQRT(1-(Høytemp!$J$78^2)))/(1-(Høytemp!$J$78*COS('PV-diagram'!P22-Høytemp!$J$77)))*10^(-3)</f>
        <v>3470.4667743098335</v>
      </c>
    </row>
    <row r="23" spans="3:18" x14ac:dyDescent="0.45">
      <c r="C23" s="61">
        <f t="shared" si="0"/>
        <v>3.9793506945470702</v>
      </c>
      <c r="D23" s="157">
        <f>(0.5*Høytemp!$H$52*(1-COS('PV-diagram'!C23))+Høytemp!$H$54)*10^6</f>
        <v>20.995397869388984</v>
      </c>
      <c r="E23" s="157">
        <f>(Høytemp!$L$39*SQRT(1-(Høytemp!$L$78^2)))/(1-(Høytemp!$L$78*COS('PV-diagram'!C23-Høytemp!$L$77)))*10^(-3)</f>
        <v>4381.8379484049619</v>
      </c>
      <c r="P23" s="61">
        <f t="shared" si="1"/>
        <v>3.9793506945470702</v>
      </c>
      <c r="Q23">
        <f>(0.5*Høytemp!$H$52*(1-COS('PV-diagram'!P23))+Høytemp!$H$54)*10^6</f>
        <v>20.995397869388984</v>
      </c>
      <c r="R23">
        <f>(Høytemp!$J$39*SQRT(1-(Høytemp!$J$78^2)))/(1-(Høytemp!$J$78*COS('PV-diagram'!P23-Høytemp!$J$77)))*10^(-3)</f>
        <v>3831.2788883868348</v>
      </c>
    </row>
    <row r="24" spans="3:18" x14ac:dyDescent="0.45">
      <c r="C24" s="61">
        <f t="shared" si="0"/>
        <v>4.1887902047863896</v>
      </c>
      <c r="D24" s="157">
        <f>(0.5*Høytemp!$H$52*(1-COS('PV-diagram'!C24))+Høytemp!$H$54)*10^6</f>
        <v>19.881250000000009</v>
      </c>
      <c r="E24" s="157">
        <f>(Høytemp!$L$39*SQRT(1-(Høytemp!$L$78^2)))/(1-(Høytemp!$L$78*COS('PV-diagram'!C24-Høytemp!$L$77)))*10^(-3)</f>
        <v>4838.2297067588288</v>
      </c>
      <c r="P24" s="61">
        <f t="shared" si="1"/>
        <v>4.1887902047863896</v>
      </c>
      <c r="Q24">
        <f>(0.5*Høytemp!$H$52*(1-COS('PV-diagram'!P24))+Høytemp!$H$54)*10^6</f>
        <v>19.881250000000009</v>
      </c>
      <c r="R24">
        <f>(Høytemp!$J$39*SQRT(1-(Høytemp!$J$78^2)))/(1-(Høytemp!$J$78*COS('PV-diagram'!P24-Høytemp!$J$77)))*10^(-3)</f>
        <v>4231.8137609619798</v>
      </c>
    </row>
    <row r="25" spans="3:18" x14ac:dyDescent="0.45">
      <c r="C25" s="61">
        <f t="shared" si="0"/>
        <v>4.3982297150257095</v>
      </c>
      <c r="D25" s="157">
        <f>(0.5*Høytemp!$H$52*(1-COS('PV-diagram'!C25))+Høytemp!$H$54)*10^6</f>
        <v>18.623149450444973</v>
      </c>
      <c r="E25" s="157">
        <f>(Høytemp!$L$39*SQRT(1-(Høytemp!$L$78^2)))/(1-(Høytemp!$L$78*COS('PV-diagram'!C25-Høytemp!$L$77)))*10^(-3)</f>
        <v>5312.6894894032121</v>
      </c>
      <c r="P25" s="61">
        <f t="shared" si="1"/>
        <v>4.3982297150257095</v>
      </c>
      <c r="Q25">
        <f>(0.5*Høytemp!$H$52*(1-COS('PV-diagram'!P25))+Høytemp!$H$54)*10^6</f>
        <v>18.623149450444973</v>
      </c>
      <c r="R25">
        <f>(Høytemp!$J$39*SQRT(1-(Høytemp!$J$78^2)))/(1-(Høytemp!$J$78*COS('PV-diagram'!P25-Høytemp!$J$77)))*10^(-3)</f>
        <v>4648.7216774985782</v>
      </c>
    </row>
    <row r="26" spans="3:18" x14ac:dyDescent="0.45">
      <c r="C26" s="61">
        <f t="shared" si="0"/>
        <v>4.6076692252650293</v>
      </c>
      <c r="D26" s="157">
        <f>(0.5*Høytemp!$H$52*(1-COS('PV-diagram'!C26))+Høytemp!$H$54)*10^6</f>
        <v>17.276081251775672</v>
      </c>
      <c r="E26" s="157">
        <f>(Høytemp!$L$39*SQRT(1-(Høytemp!$L$78^2)))/(1-(Høytemp!$L$78*COS('PV-diagram'!C26-Høytemp!$L$77)))*10^(-3)</f>
        <v>5758.8526023669465</v>
      </c>
      <c r="P26" s="61">
        <f t="shared" si="1"/>
        <v>4.6076692252650293</v>
      </c>
      <c r="Q26">
        <f>(0.5*Høytemp!$H$52*(1-COS('PV-diagram'!P26))+Høytemp!$H$54)*10^6</f>
        <v>17.276081251775672</v>
      </c>
      <c r="R26">
        <f>(Høytemp!$J$39*SQRT(1-(Høytemp!$J$78^2)))/(1-(Høytemp!$J$78*COS('PV-diagram'!P26-Høytemp!$J$77)))*10^(-3)</f>
        <v>5041.3777606263329</v>
      </c>
    </row>
    <row r="27" spans="3:18" x14ac:dyDescent="0.45">
      <c r="C27" s="61">
        <f t="shared" si="0"/>
        <v>4.8171087355043491</v>
      </c>
      <c r="D27" s="157">
        <f>(0.5*Høytemp!$H$52*(1-COS('PV-diagram'!C27))+Høytemp!$H$54)*10^6</f>
        <v>15.898918748224338</v>
      </c>
      <c r="E27" s="157">
        <f>(Høytemp!$L$39*SQRT(1-(Høytemp!$L$78^2)))/(1-(Høytemp!$L$78*COS('PV-diagram'!C27-Høytemp!$L$77)))*10^(-3)</f>
        <v>6113.3709630830308</v>
      </c>
      <c r="P27" s="61">
        <f t="shared" si="1"/>
        <v>4.8171087355043491</v>
      </c>
      <c r="Q27">
        <f>(0.5*Høytemp!$H$52*(1-COS('PV-diagram'!P27))+Høytemp!$H$54)*10^6</f>
        <v>15.898918748224338</v>
      </c>
      <c r="R27">
        <f>(Høytemp!$J$39*SQRT(1-(Høytemp!$J$78^2)))/(1-(Høytemp!$J$78*COS('PV-diagram'!P27-Høytemp!$J$77)))*10^(-3)</f>
        <v>5354.0566112027</v>
      </c>
    </row>
    <row r="28" spans="3:18" x14ac:dyDescent="0.45">
      <c r="C28" s="61">
        <f t="shared" si="0"/>
        <v>5.026548245743669</v>
      </c>
      <c r="D28" s="157">
        <f>(0.5*Høytemp!$H$52*(1-COS('PV-diagram'!C28))+Høytemp!$H$54)*10^6</f>
        <v>14.551850549555036</v>
      </c>
      <c r="E28" s="157">
        <f>(Høytemp!$L$39*SQRT(1-(Høytemp!$L$78^2)))/(1-(Høytemp!$L$78*COS('PV-diagram'!C28-Høytemp!$L$77)))*10^(-3)</f>
        <v>6310.7728082379062</v>
      </c>
      <c r="P28" s="61">
        <f t="shared" si="1"/>
        <v>5.026548245743669</v>
      </c>
      <c r="Q28">
        <f>(0.5*Høytemp!$H$52*(1-COS('PV-diagram'!P28))+Høytemp!$H$54)*10^6</f>
        <v>14.551850549555036</v>
      </c>
      <c r="R28">
        <f>(Høytemp!$J$39*SQRT(1-(Høytemp!$J$78^2)))/(1-(Høytemp!$J$78*COS('PV-diagram'!P28-Høytemp!$J$77)))*10^(-3)</f>
        <v>5528.9378860266597</v>
      </c>
    </row>
    <row r="29" spans="3:18" x14ac:dyDescent="0.45">
      <c r="C29" s="61">
        <f t="shared" si="0"/>
        <v>5.2359877559829888</v>
      </c>
      <c r="D29" s="157">
        <f>(0.5*Høytemp!$H$52*(1-COS('PV-diagram'!C29))+Høytemp!$H$54)*10^6</f>
        <v>13.293749999999999</v>
      </c>
      <c r="E29" s="157">
        <f>(Høytemp!$L$39*SQRT(1-(Høytemp!$L$78^2)))/(1-(Høytemp!$L$78*COS('PV-diagram'!C29-Høytemp!$L$77)))*10^(-3)</f>
        <v>6308.3802358080702</v>
      </c>
      <c r="P29" s="61">
        <f t="shared" si="1"/>
        <v>5.2359877559829888</v>
      </c>
      <c r="Q29">
        <f>(0.5*Høytemp!$H$52*(1-COS('PV-diagram'!P29))+Høytemp!$H$54)*10^6</f>
        <v>13.293749999999999</v>
      </c>
      <c r="R29">
        <f>(Høytemp!$J$39*SQRT(1-(Høytemp!$J$78^2)))/(1-(Høytemp!$J$78*COS('PV-diagram'!P29-Høytemp!$J$77)))*10^(-3)</f>
        <v>5528.11275677098</v>
      </c>
    </row>
    <row r="30" spans="3:18" x14ac:dyDescent="0.45">
      <c r="C30" s="61">
        <f t="shared" si="0"/>
        <v>5.4454272662223087</v>
      </c>
      <c r="D30" s="157">
        <f>(0.5*Høytemp!$H$52*(1-COS('PV-diagram'!C30))+Høytemp!$H$54)*10^6</f>
        <v>12.17960213061102</v>
      </c>
      <c r="E30" s="157">
        <f>(Høytemp!$L$39*SQRT(1-(Høytemp!$L$78^2)))/(1-(Høytemp!$L$78*COS('PV-diagram'!C30-Høytemp!$L$77)))*10^(-3)</f>
        <v>6106.7380771700655</v>
      </c>
      <c r="P30" s="61">
        <f t="shared" si="1"/>
        <v>5.4454272662223087</v>
      </c>
      <c r="Q30">
        <f>(0.5*Høytemp!$H$52*(1-COS('PV-diagram'!P30))+Høytemp!$H$54)*10^6</f>
        <v>12.17960213061102</v>
      </c>
      <c r="R30">
        <f>(Høytemp!$J$39*SQRT(1-(Høytemp!$J$78^2)))/(1-(Høytemp!$J$78*COS('PV-diagram'!P30-Høytemp!$J$77)))*10^(-3)</f>
        <v>5351.7697934063872</v>
      </c>
    </row>
    <row r="31" spans="3:18" x14ac:dyDescent="0.45">
      <c r="C31" s="61">
        <f t="shared" si="0"/>
        <v>5.6548667764616285</v>
      </c>
      <c r="D31" s="157">
        <f>(0.5*Høytemp!$H$52*(1-COS('PV-diagram'!C31))+Høytemp!$H$54)*10^6</f>
        <v>11.258100549555031</v>
      </c>
      <c r="E31" s="157">
        <f>(Høytemp!$L$39*SQRT(1-(Høytemp!$L$78^2)))/(1-(Høytemp!$L$78*COS('PV-diagram'!C31-Høytemp!$L$77)))*10^(-3)</f>
        <v>5749.3344279450648</v>
      </c>
      <c r="P31" s="61">
        <f t="shared" si="1"/>
        <v>5.6548667764616285</v>
      </c>
      <c r="Q31">
        <f>(0.5*Høytemp!$H$52*(1-COS('PV-diagram'!P31))+Høytemp!$H$54)*10^6</f>
        <v>11.258100549555031</v>
      </c>
      <c r="R31">
        <f>(Høytemp!$J$39*SQRT(1-(Høytemp!$J$78^2)))/(1-(Høytemp!$J$78*COS('PV-diagram'!P31-Høytemp!$J$77)))*10^(-3)</f>
        <v>5038.0979054714717</v>
      </c>
    </row>
    <row r="32" spans="3:18" x14ac:dyDescent="0.45">
      <c r="C32" s="61">
        <f t="shared" si="0"/>
        <v>5.8643062867009483</v>
      </c>
      <c r="D32" s="157">
        <f>(0.5*Høytemp!$H$52*(1-COS('PV-diagram'!C32))+Høytemp!$H$54)*10^6</f>
        <v>10.569519297779365</v>
      </c>
      <c r="E32" s="157">
        <f>(Høytemp!$L$39*SQRT(1-(Høytemp!$L$78^2)))/(1-(Høytemp!$L$78*COS('PV-diagram'!C32-Høytemp!$L$77)))*10^(-3)</f>
        <v>5301.8531364430792</v>
      </c>
      <c r="P32" s="61">
        <f t="shared" si="1"/>
        <v>5.8643062867009483</v>
      </c>
      <c r="Q32">
        <f>(0.5*Høytemp!$H$52*(1-COS('PV-diagram'!P32))+Høytemp!$H$54)*10^6</f>
        <v>10.569519297779365</v>
      </c>
      <c r="R32">
        <f>(Høytemp!$J$39*SQRT(1-(Høytemp!$J$78^2)))/(1-(Høytemp!$J$78*COS('PV-diagram'!P32-Høytemp!$J$77)))*10^(-3)</f>
        <v>4644.990052058688</v>
      </c>
    </row>
    <row r="33" spans="3:18" x14ac:dyDescent="0.45">
      <c r="C33" s="61">
        <f t="shared" si="0"/>
        <v>6.0737457969402682</v>
      </c>
      <c r="D33" s="157">
        <f>(0.5*Høytemp!$H$52*(1-COS('PV-diagram'!C33))+Høytemp!$H$54)*10^6</f>
        <v>10.143952680166054</v>
      </c>
      <c r="E33" s="157">
        <f>(Høytemp!$L$39*SQRT(1-(Høytemp!$L$78^2)))/(1-(Høytemp!$L$78*COS('PV-diagram'!C33-Høytemp!$L$77)))*10^(-3)</f>
        <v>4827.3658392264388</v>
      </c>
      <c r="P33" s="61">
        <f t="shared" si="1"/>
        <v>6.0737457969402682</v>
      </c>
      <c r="Q33">
        <f>(0.5*Høytemp!$H$52*(1-COS('PV-diagram'!P33))+Høytemp!$H$54)*10^6</f>
        <v>10.143952680166054</v>
      </c>
      <c r="R33">
        <f>(Høytemp!$J$39*SQRT(1-(Høytemp!$J$78^2)))/(1-(Høytemp!$J$78*COS('PV-diagram'!P33-Høytemp!$J$77)))*10^(-3)</f>
        <v>4228.0752753104998</v>
      </c>
    </row>
    <row r="34" spans="3:18" x14ac:dyDescent="0.45">
      <c r="C34" s="61">
        <f t="shared" si="0"/>
        <v>6.283185307179588</v>
      </c>
      <c r="D34" s="157">
        <f>(0.5*Høytemp!$H$52*(1-COS('PV-diagram'!C34))+Høytemp!$H$54)*10^6</f>
        <v>10</v>
      </c>
      <c r="E34" s="157">
        <f>(Høytemp!$L$39*SQRT(1-(Høytemp!$L$78^2)))/(1-(Høytemp!$L$78*COS('PV-diagram'!C34-Høytemp!$L$77)))*10^(-3)</f>
        <v>4371.7761754301582</v>
      </c>
      <c r="P34" s="61">
        <f t="shared" si="1"/>
        <v>6.283185307179588</v>
      </c>
      <c r="Q34">
        <f>(0.5*Høytemp!$H$52*(1-COS('PV-diagram'!P34))+Høytemp!$H$54)*10^6</f>
        <v>10</v>
      </c>
      <c r="R34">
        <f>(Høytemp!$J$39*SQRT(1-(Høytemp!$J$78^2)))/(1-(Høytemp!$J$78*COS('PV-diagram'!P34-Høytemp!$J$77)))*10^(-3)</f>
        <v>3827.8187448875651</v>
      </c>
    </row>
    <row r="35" spans="3:18" x14ac:dyDescent="0.45">
      <c r="C35" s="61"/>
    </row>
    <row r="36" spans="3:18" x14ac:dyDescent="0.45">
      <c r="C36" s="61"/>
    </row>
    <row r="37" spans="3:18" x14ac:dyDescent="0.45">
      <c r="C37" s="61"/>
    </row>
    <row r="38" spans="3:18" x14ac:dyDescent="0.45">
      <c r="C38" s="61"/>
    </row>
    <row r="39" spans="3:18" x14ac:dyDescent="0.45">
      <c r="C39" s="61"/>
    </row>
    <row r="40" spans="3:18" x14ac:dyDescent="0.45">
      <c r="C40" s="61"/>
    </row>
    <row r="41" spans="3:18" x14ac:dyDescent="0.45">
      <c r="C41" s="61"/>
    </row>
    <row r="42" spans="3:18" x14ac:dyDescent="0.45">
      <c r="C42" s="61"/>
    </row>
    <row r="43" spans="3:18" x14ac:dyDescent="0.45">
      <c r="C43" s="61"/>
    </row>
    <row r="44" spans="3:18" x14ac:dyDescent="0.45">
      <c r="C44" s="61"/>
    </row>
    <row r="45" spans="3:18" x14ac:dyDescent="0.45">
      <c r="C45" s="61"/>
    </row>
    <row r="46" spans="3:18" x14ac:dyDescent="0.45">
      <c r="C46" s="61"/>
    </row>
    <row r="47" spans="3:18" x14ac:dyDescent="0.45">
      <c r="C47" s="61"/>
    </row>
    <row r="48" spans="3:18" x14ac:dyDescent="0.45">
      <c r="C48" s="61"/>
    </row>
    <row r="49" spans="3:3" x14ac:dyDescent="0.45">
      <c r="C49" s="61"/>
    </row>
    <row r="50" spans="3:3" x14ac:dyDescent="0.45">
      <c r="C50" s="61"/>
    </row>
    <row r="51" spans="3:3" x14ac:dyDescent="0.45">
      <c r="C51" s="61"/>
    </row>
    <row r="52" spans="3:3" x14ac:dyDescent="0.45">
      <c r="C52" s="61"/>
    </row>
    <row r="53" spans="3:3" x14ac:dyDescent="0.45">
      <c r="C53" s="61"/>
    </row>
    <row r="54" spans="3:3" x14ac:dyDescent="0.45">
      <c r="C54" s="61"/>
    </row>
    <row r="55" spans="3:3" x14ac:dyDescent="0.45">
      <c r="C55" s="61"/>
    </row>
  </sheetData>
  <pageMargins left="0.7" right="0.7" top="0.75" bottom="0.75" header="0.3" footer="0.3"/>
  <pageSetup paperSize="0" orientation="portrait" horizontalDpi="0" verticalDpi="0" copie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4CCD745CFEEC4C8478D478872A8487" ma:contentTypeVersion="5" ma:contentTypeDescription="Opprett et nytt dokument." ma:contentTypeScope="" ma:versionID="8ac4b73b48e7d6fc6a809fc288fc6054">
  <xsd:schema xmlns:xsd="http://www.w3.org/2001/XMLSchema" xmlns:xs="http://www.w3.org/2001/XMLSchema" xmlns:p="http://schemas.microsoft.com/office/2006/metadata/properties" xmlns:ns2="7d30b762-4a60-436c-ab13-d0f70a19fcf9" targetNamespace="http://schemas.microsoft.com/office/2006/metadata/properties" ma:root="true" ma:fieldsID="cd6b2f654e4cc458e6722ddbca518368" ns2:_="">
    <xsd:import namespace="7d30b762-4a60-436c-ab13-d0f70a19fc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0b762-4a60-436c-ab13-d0f70a19fc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C36F40-BF5C-4EA6-9D23-CDD351D23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30b762-4a60-436c-ab13-d0f70a19fc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2986D5-212D-47F0-BFB9-37B6FF946223}">
  <ds:schemaRefs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7d30b762-4a60-436c-ab13-d0f70a19fcf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251B1F3-A24E-4DE2-B7CF-4564785739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Lavtemp</vt:lpstr>
      <vt:lpstr>Høytemp</vt:lpstr>
      <vt:lpstr>Kortversjon diagrammer</vt:lpstr>
      <vt:lpstr>PV-diagram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Astrid Marie</dc:creator>
  <cp:keywords/>
  <dc:description/>
  <cp:lastModifiedBy>sandra bakke fonnes</cp:lastModifiedBy>
  <cp:revision/>
  <dcterms:created xsi:type="dcterms:W3CDTF">2020-01-31T09:55:40Z</dcterms:created>
  <dcterms:modified xsi:type="dcterms:W3CDTF">2020-06-09T11:17:50Z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0x010100774CCD745CFEEC4C8478D478872A8487</vt:lpwstr>
  </property>
</Properties>
</file>